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sunnucks/Desktop/Book/"/>
    </mc:Choice>
  </mc:AlternateContent>
  <xr:revisionPtr revIDLastSave="0" documentId="8_{164627B1-9836-2046-8D0A-9E84DC2B8C21}" xr6:coauthVersionLast="36" xr6:coauthVersionMax="36" xr10:uidLastSave="{00000000-0000-0000-0000-000000000000}"/>
  <bookViews>
    <workbookView xWindow="0" yWindow="0" windowWidth="27320" windowHeight="15360" xr2:uid="{1859D32C-A364-7943-9283-4CCC77705359}"/>
  </bookViews>
  <sheets>
    <sheet name="Non-bank model (2)" sheetId="1" r:id="rId1"/>
  </sheets>
  <externalReferences>
    <externalReference r:id="rId2"/>
  </externalReferences>
  <definedNames>
    <definedName name="Basic_Shares">'[1]Op-Model'!$J$8</definedName>
    <definedName name="CIQWBGuid" hidden="1">"fedf60f8-2cd9-49ba-9fee-91fc372c3a0f"</definedName>
    <definedName name="Circ_Ref">'[1]Op-Model'!$D$20</definedName>
    <definedName name="Company_Name">'[1]Op-Model'!$D$7</definedName>
    <definedName name="Comps_Range">'[1]Pub-Comps-Data'!$D$1:$AA$131</definedName>
    <definedName name="Forward_Year_1">[1]Inputs!$F$7</definedName>
    <definedName name="Forward_Year_2">[1]Inputs!$F$8</definedName>
    <definedName name="Forward_Year_3">[1]Inputs!$F$9</definedName>
    <definedName name="Hist_Year">'[1]Op-Model'!$D$10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"08/30/2015 13:55:30"</definedName>
    <definedName name="IQ_QTD" hidden="1">750000</definedName>
    <definedName name="IQ_TODAY" hidden="1">0</definedName>
    <definedName name="IQ_YTDMONTH" hidden="1">130000</definedName>
    <definedName name="LTM">[1]Inputs!$F$6</definedName>
    <definedName name="LTM_Date">'[1]Op-Model'!$D$11</definedName>
    <definedName name="Min_CET_1">'[1]Op-Model'!$D$14</definedName>
    <definedName name="Risk_Free_Rate">'[1]Cost-Equity'!$E$7</definedName>
    <definedName name="Scenario">'[1]Op-Model'!$D$19</definedName>
    <definedName name="Share_Price">'[1]Op-Model'!$J$9</definedName>
    <definedName name="Stub_Period">[1]DDM!$D$16</definedName>
    <definedName name="Tax_Rate">'[1]Op-Model'!$D$15</definedName>
    <definedName name="Ticker">'[1]Op-Model'!$D$8</definedName>
    <definedName name="Units">'[1]Op-Model'!$D$17</definedName>
    <definedName name="Valuation_Date">'[1]Op-Model'!$D$12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2" i="1" l="1"/>
  <c r="I188" i="1"/>
  <c r="C169" i="1"/>
  <c r="C168" i="1"/>
  <c r="C170" i="1" s="1"/>
  <c r="C164" i="1"/>
  <c r="E143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C134" i="1"/>
  <c r="E132" i="1"/>
  <c r="E125" i="1"/>
  <c r="D125" i="1"/>
  <c r="C125" i="1"/>
  <c r="C120" i="1"/>
  <c r="C119" i="1"/>
  <c r="C117" i="1"/>
  <c r="C116" i="1"/>
  <c r="D115" i="1"/>
  <c r="C115" i="1"/>
  <c r="C112" i="1"/>
  <c r="D109" i="1"/>
  <c r="E106" i="1"/>
  <c r="F103" i="1" s="1"/>
  <c r="D106" i="1"/>
  <c r="C106" i="1"/>
  <c r="E105" i="1"/>
  <c r="D105" i="1"/>
  <c r="C105" i="1"/>
  <c r="E104" i="1"/>
  <c r="D104" i="1"/>
  <c r="C104" i="1"/>
  <c r="E103" i="1"/>
  <c r="D103" i="1"/>
  <c r="C103" i="1"/>
  <c r="E95" i="1"/>
  <c r="E93" i="1"/>
  <c r="E134" i="1" s="1"/>
  <c r="D93" i="1"/>
  <c r="D134" i="1" s="1"/>
  <c r="C93" i="1"/>
  <c r="E87" i="1"/>
  <c r="E133" i="1" s="1"/>
  <c r="D87" i="1"/>
  <c r="D133" i="1" s="1"/>
  <c r="C87" i="1"/>
  <c r="C133" i="1" s="1"/>
  <c r="E83" i="1"/>
  <c r="D83" i="1"/>
  <c r="C83" i="1"/>
  <c r="E68" i="1"/>
  <c r="E151" i="1" s="1"/>
  <c r="D68" i="1"/>
  <c r="D151" i="1" s="1"/>
  <c r="C68" i="1"/>
  <c r="C64" i="1"/>
  <c r="E61" i="1"/>
  <c r="E147" i="1" s="1"/>
  <c r="D61" i="1"/>
  <c r="D147" i="1" s="1"/>
  <c r="C61" i="1"/>
  <c r="C147" i="1" s="1"/>
  <c r="E55" i="1"/>
  <c r="D55" i="1"/>
  <c r="D143" i="1" s="1"/>
  <c r="E52" i="1"/>
  <c r="D52" i="1"/>
  <c r="C52" i="1"/>
  <c r="C146" i="1" s="1"/>
  <c r="F50" i="1"/>
  <c r="F79" i="1" s="1"/>
  <c r="D41" i="1"/>
  <c r="D39" i="1"/>
  <c r="C39" i="1"/>
  <c r="C41" i="1" s="1"/>
  <c r="D37" i="1"/>
  <c r="C37" i="1"/>
  <c r="F35" i="1"/>
  <c r="F34" i="1"/>
  <c r="F33" i="1"/>
  <c r="E32" i="1"/>
  <c r="E37" i="1" s="1"/>
  <c r="D32" i="1"/>
  <c r="C32" i="1"/>
  <c r="F30" i="1"/>
  <c r="D25" i="1"/>
  <c r="E25" i="1" s="1"/>
  <c r="F25" i="1" s="1"/>
  <c r="D24" i="1"/>
  <c r="D117" i="1" s="1"/>
  <c r="D116" i="1" s="1"/>
  <c r="E152" i="1" l="1"/>
  <c r="E126" i="1"/>
  <c r="E127" i="1" s="1"/>
  <c r="E39" i="1"/>
  <c r="E41" i="1" s="1"/>
  <c r="G25" i="1"/>
  <c r="F66" i="1"/>
  <c r="C110" i="1"/>
  <c r="C157" i="1"/>
  <c r="C155" i="1"/>
  <c r="C43" i="1"/>
  <c r="C111" i="1" s="1"/>
  <c r="C128" i="1"/>
  <c r="C129" i="1" s="1"/>
  <c r="D157" i="1"/>
  <c r="D155" i="1"/>
  <c r="D128" i="1"/>
  <c r="D129" i="1" s="1"/>
  <c r="D132" i="1"/>
  <c r="D95" i="1"/>
  <c r="F125" i="1"/>
  <c r="F105" i="1"/>
  <c r="F31" i="1"/>
  <c r="D146" i="1"/>
  <c r="E150" i="1"/>
  <c r="C151" i="1"/>
  <c r="C69" i="1"/>
  <c r="D150" i="1"/>
  <c r="C126" i="1"/>
  <c r="C127" i="1" s="1"/>
  <c r="C152" i="1"/>
  <c r="E69" i="1"/>
  <c r="E4" i="1" s="1"/>
  <c r="E97" i="1"/>
  <c r="E135" i="1"/>
  <c r="E115" i="1"/>
  <c r="D126" i="1"/>
  <c r="D127" i="1" s="1"/>
  <c r="D152" i="1"/>
  <c r="E24" i="1"/>
  <c r="G30" i="1"/>
  <c r="D43" i="1"/>
  <c r="D111" i="1" s="1"/>
  <c r="E146" i="1"/>
  <c r="D64" i="1"/>
  <c r="C55" i="1"/>
  <c r="E64" i="1"/>
  <c r="D69" i="1"/>
  <c r="D4" i="1" s="1"/>
  <c r="C132" i="1"/>
  <c r="C95" i="1"/>
  <c r="F106" i="1"/>
  <c r="D110" i="1"/>
  <c r="D112" i="1" s="1"/>
  <c r="E109" i="1" s="1"/>
  <c r="D119" i="1"/>
  <c r="D120" i="1" s="1"/>
  <c r="G103" i="1" l="1"/>
  <c r="F104" i="1"/>
  <c r="F86" i="1" s="1"/>
  <c r="F87" i="1" s="1"/>
  <c r="F133" i="1" s="1"/>
  <c r="F54" i="1"/>
  <c r="F77" i="1"/>
  <c r="F36" i="1"/>
  <c r="C135" i="1"/>
  <c r="C97" i="1"/>
  <c r="C71" i="1" s="1"/>
  <c r="C150" i="1"/>
  <c r="C143" i="1"/>
  <c r="C4" i="1"/>
  <c r="G125" i="1"/>
  <c r="G105" i="1"/>
  <c r="G106" i="1"/>
  <c r="G31" i="1"/>
  <c r="G32" i="1" s="1"/>
  <c r="G33" i="1"/>
  <c r="G50" i="1"/>
  <c r="G79" i="1" s="1"/>
  <c r="G35" i="1"/>
  <c r="G34" i="1"/>
  <c r="H30" i="1"/>
  <c r="F96" i="1"/>
  <c r="E71" i="1"/>
  <c r="C109" i="1"/>
  <c r="C156" i="1"/>
  <c r="E155" i="1"/>
  <c r="E128" i="1"/>
  <c r="E129" i="1" s="1"/>
  <c r="E156" i="1"/>
  <c r="E110" i="1"/>
  <c r="E112" i="1" s="1"/>
  <c r="F109" i="1" s="1"/>
  <c r="E157" i="1"/>
  <c r="E43" i="1"/>
  <c r="E111" i="1" s="1"/>
  <c r="E117" i="1"/>
  <c r="F24" i="1"/>
  <c r="F90" i="1"/>
  <c r="D156" i="1"/>
  <c r="F59" i="1"/>
  <c r="F51" i="1"/>
  <c r="F80" i="1" s="1"/>
  <c r="F32" i="1"/>
  <c r="F37" i="1" s="1"/>
  <c r="D97" i="1"/>
  <c r="D71" i="1" s="1"/>
  <c r="D135" i="1"/>
  <c r="G66" i="1"/>
  <c r="H25" i="1"/>
  <c r="F115" i="1" l="1"/>
  <c r="E116" i="1"/>
  <c r="E119" i="1"/>
  <c r="E120" i="1" s="1"/>
  <c r="G59" i="1"/>
  <c r="G51" i="1"/>
  <c r="G80" i="1" s="1"/>
  <c r="F126" i="1"/>
  <c r="F127" i="1" s="1"/>
  <c r="G90" i="1"/>
  <c r="G104" i="1"/>
  <c r="G86" i="1" s="1"/>
  <c r="G87" i="1" s="1"/>
  <c r="G133" i="1" s="1"/>
  <c r="H103" i="1"/>
  <c r="G54" i="1"/>
  <c r="H66" i="1"/>
  <c r="I25" i="1"/>
  <c r="I66" i="1" s="1"/>
  <c r="F81" i="1"/>
  <c r="F117" i="1"/>
  <c r="G24" i="1"/>
  <c r="H105" i="1"/>
  <c r="H106" i="1"/>
  <c r="H50" i="1"/>
  <c r="H79" i="1" s="1"/>
  <c r="H35" i="1"/>
  <c r="H34" i="1"/>
  <c r="H33" i="1"/>
  <c r="I30" i="1"/>
  <c r="H31" i="1"/>
  <c r="H32" i="1" s="1"/>
  <c r="H125" i="1"/>
  <c r="G77" i="1"/>
  <c r="G36" i="1"/>
  <c r="G37" i="1" s="1"/>
  <c r="G126" i="1" l="1"/>
  <c r="G127" i="1" s="1"/>
  <c r="H77" i="1"/>
  <c r="H36" i="1"/>
  <c r="H37" i="1" s="1"/>
  <c r="I106" i="1"/>
  <c r="I125" i="1"/>
  <c r="I105" i="1"/>
  <c r="I50" i="1"/>
  <c r="I79" i="1" s="1"/>
  <c r="I34" i="1"/>
  <c r="I31" i="1"/>
  <c r="I35" i="1"/>
  <c r="I33" i="1"/>
  <c r="G117" i="1"/>
  <c r="H24" i="1"/>
  <c r="I90" i="1"/>
  <c r="G81" i="1"/>
  <c r="F116" i="1"/>
  <c r="F92" i="1" s="1"/>
  <c r="G119" i="1"/>
  <c r="G120" i="1" s="1"/>
  <c r="G38" i="1" s="1"/>
  <c r="G152" i="1" s="1"/>
  <c r="G115" i="1"/>
  <c r="F63" i="1"/>
  <c r="H51" i="1"/>
  <c r="H80" i="1" s="1"/>
  <c r="H59" i="1"/>
  <c r="H90" i="1"/>
  <c r="H104" i="1"/>
  <c r="H86" i="1" s="1"/>
  <c r="H87" i="1" s="1"/>
  <c r="H133" i="1" s="1"/>
  <c r="I103" i="1"/>
  <c r="H54" i="1"/>
  <c r="F119" i="1"/>
  <c r="F120" i="1" s="1"/>
  <c r="F38" i="1" s="1"/>
  <c r="H126" i="1" l="1"/>
  <c r="H127" i="1" s="1"/>
  <c r="G39" i="1"/>
  <c r="K104" i="1"/>
  <c r="I104" i="1"/>
  <c r="I86" i="1" s="1"/>
  <c r="I87" i="1" s="1"/>
  <c r="I133" i="1" s="1"/>
  <c r="I54" i="1"/>
  <c r="F39" i="1"/>
  <c r="F152" i="1"/>
  <c r="F189" i="1"/>
  <c r="H117" i="1"/>
  <c r="I24" i="1"/>
  <c r="I117" i="1" s="1"/>
  <c r="I51" i="1"/>
  <c r="I80" i="1" s="1"/>
  <c r="I59" i="1"/>
  <c r="I77" i="1"/>
  <c r="I36" i="1"/>
  <c r="H81" i="1"/>
  <c r="G116" i="1"/>
  <c r="G92" i="1" s="1"/>
  <c r="H119" i="1"/>
  <c r="H120" i="1" s="1"/>
  <c r="H38" i="1" s="1"/>
  <c r="H152" i="1" s="1"/>
  <c r="H115" i="1"/>
  <c r="G63" i="1"/>
  <c r="I32" i="1"/>
  <c r="I37" i="1" s="1"/>
  <c r="I81" i="1" l="1"/>
  <c r="G40" i="1"/>
  <c r="G60" i="1" s="1"/>
  <c r="H39" i="1"/>
  <c r="I116" i="1"/>
  <c r="I92" i="1" s="1"/>
  <c r="I63" i="1"/>
  <c r="I126" i="1"/>
  <c r="I127" i="1" s="1"/>
  <c r="I119" i="1"/>
  <c r="I120" i="1" s="1"/>
  <c r="I38" i="1" s="1"/>
  <c r="I152" i="1" s="1"/>
  <c r="I115" i="1"/>
  <c r="H63" i="1"/>
  <c r="H116" i="1"/>
  <c r="H92" i="1" s="1"/>
  <c r="F40" i="1"/>
  <c r="F60" i="1" s="1"/>
  <c r="F82" i="1" l="1"/>
  <c r="F61" i="1"/>
  <c r="F64" i="1" s="1"/>
  <c r="G82" i="1"/>
  <c r="G61" i="1"/>
  <c r="G64" i="1" s="1"/>
  <c r="G41" i="1"/>
  <c r="I39" i="1"/>
  <c r="F41" i="1"/>
  <c r="H40" i="1"/>
  <c r="H60" i="1" s="1"/>
  <c r="I40" i="1" l="1"/>
  <c r="I60" i="1" s="1"/>
  <c r="I41" i="1"/>
  <c r="H82" i="1"/>
  <c r="H61" i="1"/>
  <c r="H64" i="1" s="1"/>
  <c r="H41" i="1"/>
  <c r="F128" i="1"/>
  <c r="F129" i="1" s="1"/>
  <c r="F110" i="1"/>
  <c r="F157" i="1"/>
  <c r="F76" i="1"/>
  <c r="F83" i="1" s="1"/>
  <c r="F43" i="1"/>
  <c r="G110" i="1"/>
  <c r="G157" i="1"/>
  <c r="G128" i="1"/>
  <c r="G129" i="1" s="1"/>
  <c r="G76" i="1"/>
  <c r="G83" i="1" s="1"/>
  <c r="G43" i="1"/>
  <c r="F91" i="1" l="1"/>
  <c r="F93" i="1" s="1"/>
  <c r="F134" i="1" s="1"/>
  <c r="F111" i="1"/>
  <c r="G182" i="1"/>
  <c r="G132" i="1"/>
  <c r="G95" i="1"/>
  <c r="I128" i="1"/>
  <c r="I129" i="1" s="1"/>
  <c r="I110" i="1"/>
  <c r="I157" i="1"/>
  <c r="I76" i="1"/>
  <c r="I43" i="1"/>
  <c r="G111" i="1"/>
  <c r="G91" i="1"/>
  <c r="G93" i="1" s="1"/>
  <c r="G134" i="1" s="1"/>
  <c r="F182" i="1"/>
  <c r="F132" i="1"/>
  <c r="F95" i="1"/>
  <c r="F112" i="1"/>
  <c r="H157" i="1"/>
  <c r="H76" i="1"/>
  <c r="H83" i="1" s="1"/>
  <c r="H128" i="1"/>
  <c r="H129" i="1" s="1"/>
  <c r="H43" i="1"/>
  <c r="H110" i="1"/>
  <c r="I82" i="1"/>
  <c r="I61" i="1"/>
  <c r="I64" i="1" s="1"/>
  <c r="H111" i="1" l="1"/>
  <c r="H91" i="1"/>
  <c r="H93" i="1" s="1"/>
  <c r="H134" i="1" s="1"/>
  <c r="G135" i="1"/>
  <c r="H132" i="1"/>
  <c r="H182" i="1"/>
  <c r="G109" i="1"/>
  <c r="G112" i="1" s="1"/>
  <c r="F67" i="1"/>
  <c r="F68" i="1" s="1"/>
  <c r="I91" i="1"/>
  <c r="I93" i="1" s="1"/>
  <c r="I134" i="1" s="1"/>
  <c r="I111" i="1"/>
  <c r="F135" i="1"/>
  <c r="F97" i="1"/>
  <c r="I83" i="1"/>
  <c r="I182" i="1" l="1"/>
  <c r="I132" i="1"/>
  <c r="I95" i="1"/>
  <c r="H109" i="1"/>
  <c r="H112" i="1" s="1"/>
  <c r="G67" i="1"/>
  <c r="G68" i="1" s="1"/>
  <c r="G96" i="1"/>
  <c r="G97" i="1" s="1"/>
  <c r="F49" i="1"/>
  <c r="C165" i="1"/>
  <c r="F69" i="1"/>
  <c r="F155" i="1"/>
  <c r="H95" i="1"/>
  <c r="H96" i="1" l="1"/>
  <c r="G49" i="1"/>
  <c r="G69" i="1"/>
  <c r="C171" i="1"/>
  <c r="C172" i="1" s="1"/>
  <c r="C166" i="1"/>
  <c r="C174" i="1" s="1"/>
  <c r="I109" i="1"/>
  <c r="I112" i="1" s="1"/>
  <c r="I67" i="1" s="1"/>
  <c r="I68" i="1" s="1"/>
  <c r="I69" i="1" s="1"/>
  <c r="H67" i="1"/>
  <c r="H68" i="1" s="1"/>
  <c r="H155" i="1" s="1"/>
  <c r="J182" i="1"/>
  <c r="J184" i="1" s="1"/>
  <c r="I135" i="1"/>
  <c r="H97" i="1"/>
  <c r="H135" i="1"/>
  <c r="G155" i="1"/>
  <c r="F147" i="1"/>
  <c r="F188" i="1"/>
  <c r="F52" i="1"/>
  <c r="F71" i="1"/>
  <c r="F151" i="1"/>
  <c r="G71" i="1" l="1"/>
  <c r="G147" i="1"/>
  <c r="G52" i="1"/>
  <c r="G151" i="1"/>
  <c r="H69" i="1"/>
  <c r="I155" i="1"/>
  <c r="F146" i="1"/>
  <c r="F55" i="1"/>
  <c r="G184" i="1"/>
  <c r="F184" i="1"/>
  <c r="H184" i="1"/>
  <c r="H49" i="1"/>
  <c r="I96" i="1"/>
  <c r="I97" i="1" s="1"/>
  <c r="I49" i="1" s="1"/>
  <c r="I184" i="1"/>
  <c r="G146" i="1" l="1"/>
  <c r="G55" i="1"/>
  <c r="F186" i="1"/>
  <c r="I147" i="1"/>
  <c r="I52" i="1"/>
  <c r="I71" i="1"/>
  <c r="I151" i="1"/>
  <c r="H71" i="1"/>
  <c r="H147" i="1"/>
  <c r="H52" i="1"/>
  <c r="H151" i="1"/>
  <c r="F150" i="1"/>
  <c r="F143" i="1"/>
  <c r="F4" i="1"/>
  <c r="G156" i="1"/>
  <c r="F156" i="1"/>
  <c r="I202" i="1" l="1"/>
  <c r="H202" i="1"/>
  <c r="G202" i="1"/>
  <c r="F202" i="1"/>
  <c r="F190" i="1"/>
  <c r="H146" i="1"/>
  <c r="H55" i="1"/>
  <c r="G150" i="1"/>
  <c r="G143" i="1"/>
  <c r="G4" i="1"/>
  <c r="H156" i="1"/>
  <c r="I146" i="1"/>
  <c r="I55" i="1"/>
  <c r="H143" i="1" l="1"/>
  <c r="H150" i="1"/>
  <c r="H4" i="1"/>
  <c r="I156" i="1"/>
  <c r="I150" i="1"/>
  <c r="I143" i="1"/>
  <c r="I4" i="1"/>
  <c r="K65" i="1"/>
  <c r="I205" i="1"/>
  <c r="I201" i="1"/>
  <c r="I200" i="1"/>
  <c r="H205" i="1"/>
  <c r="H201" i="1"/>
  <c r="H200" i="1"/>
  <c r="F194" i="1"/>
  <c r="F196" i="1" s="1"/>
  <c r="G205" i="1"/>
  <c r="G201" i="1"/>
  <c r="G200" i="1"/>
  <c r="F205" i="1"/>
  <c r="F201" i="1"/>
  <c r="F200" i="1"/>
  <c r="G204" i="1"/>
  <c r="F203" i="1"/>
  <c r="F204" i="1"/>
  <c r="G203" i="1"/>
  <c r="I203" i="1"/>
  <c r="H204" i="1"/>
  <c r="H203" i="1"/>
  <c r="I204" i="1"/>
</calcChain>
</file>

<file path=xl/sharedStrings.xml><?xml version="1.0" encoding="utf-8"?>
<sst xmlns="http://schemas.openxmlformats.org/spreadsheetml/2006/main" count="172" uniqueCount="154">
  <si>
    <t>Financial Model</t>
  </si>
  <si>
    <t>Historical --&gt;</t>
  </si>
  <si>
    <t>Forecast --&gt;</t>
  </si>
  <si>
    <t>USD millions, except per share data</t>
  </si>
  <si>
    <t>2021E</t>
  </si>
  <si>
    <t>2022E</t>
  </si>
  <si>
    <t>2024E</t>
  </si>
  <si>
    <t>Balance Sheet Check</t>
  </si>
  <si>
    <t>Days in Period</t>
  </si>
  <si>
    <t>Assumptions</t>
  </si>
  <si>
    <t>Income Statement</t>
  </si>
  <si>
    <t>Sales Growth</t>
  </si>
  <si>
    <t>Gross Margin</t>
  </si>
  <si>
    <t>Distribution Expense (Percent of Sales)</t>
  </si>
  <si>
    <t>Marketing &amp; Admin Expense (Fixed Cost)</t>
  </si>
  <si>
    <t>Research Expense (Percent of Sales)</t>
  </si>
  <si>
    <t>Depreciation (Percent of Sales)</t>
  </si>
  <si>
    <t>Long Term Debt Interest (Average Debt)</t>
  </si>
  <si>
    <t>Tax Rate (Percent of EBT)</t>
  </si>
  <si>
    <t>Balance Sheet</t>
  </si>
  <si>
    <t>Capital Asset Turnover Ratio</t>
  </si>
  <si>
    <t>Receivable Days (Sales Basis)</t>
  </si>
  <si>
    <t>Inventory Days (COGS Basis)</t>
  </si>
  <si>
    <t>Payable Days (COGS Basis)</t>
  </si>
  <si>
    <t>Income Tax Payable</t>
  </si>
  <si>
    <t>Long Term Debt</t>
  </si>
  <si>
    <t>Common Share Capital</t>
  </si>
  <si>
    <t xml:space="preserve">Dividend Payout Ratio </t>
  </si>
  <si>
    <t>Income statement</t>
  </si>
  <si>
    <t>Revenues</t>
  </si>
  <si>
    <t>Cost of Goods Sold</t>
  </si>
  <si>
    <t>Gross Profit</t>
  </si>
  <si>
    <t>Distribution Expenses</t>
  </si>
  <si>
    <t>Marketing and Administration</t>
  </si>
  <si>
    <t>Research and Development</t>
  </si>
  <si>
    <t>Other expenses</t>
  </si>
  <si>
    <t>EBIT (Operating Profit)</t>
  </si>
  <si>
    <t>Interest</t>
  </si>
  <si>
    <t>Income Before Taxes</t>
  </si>
  <si>
    <t>Taxes</t>
  </si>
  <si>
    <t>Net Income</t>
  </si>
  <si>
    <t>Common Dividends</t>
  </si>
  <si>
    <t>Assets</t>
  </si>
  <si>
    <t>Current Assets:</t>
  </si>
  <si>
    <t>Cash</t>
  </si>
  <si>
    <t>Receivables</t>
  </si>
  <si>
    <t>Inventories</t>
  </si>
  <si>
    <t>Total Current Assets</t>
  </si>
  <si>
    <t>Non-Current Assets:</t>
  </si>
  <si>
    <t>Property Plant and Equipment</t>
  </si>
  <si>
    <t>Total Assets</t>
  </si>
  <si>
    <t>Liabilities</t>
  </si>
  <si>
    <t>Current Liabilities:</t>
  </si>
  <si>
    <t>Payables</t>
  </si>
  <si>
    <t>Income Taxes Payable</t>
  </si>
  <si>
    <t>Total Current Liabilities:</t>
  </si>
  <si>
    <t>Non-Current Liabilities:</t>
  </si>
  <si>
    <t>Long-Term Debt</t>
  </si>
  <si>
    <t>Total liabilities</t>
  </si>
  <si>
    <t>Equity</t>
  </si>
  <si>
    <t>Common Stock &amp; Additional Paid-In Capital</t>
  </si>
  <si>
    <t>Retained Earnings</t>
  </si>
  <si>
    <t>Total Equity</t>
  </si>
  <si>
    <t>Total Liabilities &amp; Equity</t>
  </si>
  <si>
    <t>Check</t>
  </si>
  <si>
    <t>Cash Flow Statement</t>
  </si>
  <si>
    <t>Cash Flows from Operating Activities:</t>
  </si>
  <si>
    <t>Depreciation</t>
  </si>
  <si>
    <t>Changes in Operating Assets and Liabilities:</t>
  </si>
  <si>
    <t>Net Cash Provided by Operating Activities</t>
  </si>
  <si>
    <t/>
  </si>
  <si>
    <t>Investing Activities:</t>
  </si>
  <si>
    <t>Capital Expenditure</t>
  </si>
  <si>
    <t>Cash Flows from Investing Activities</t>
  </si>
  <si>
    <t>Financing Activities:</t>
  </si>
  <si>
    <t>Issuance of Common Stock</t>
  </si>
  <si>
    <t>Dividends (current year)</t>
  </si>
  <si>
    <t>Increase/(Decrease) in Long-Term Debt</t>
  </si>
  <si>
    <t>Cash Flows from Financing Activities</t>
  </si>
  <si>
    <t>Increase/(Decrease) in Cash and Equivalents:</t>
  </si>
  <si>
    <t>Cash and Equivalents, Beginning of the Year</t>
  </si>
  <si>
    <t>Cash and Equivalents, End of the Year</t>
  </si>
  <si>
    <t>Supporting Schedules</t>
  </si>
  <si>
    <t>Property Plant and Equipment (PP&amp;E)</t>
  </si>
  <si>
    <t>Net PP&amp;E</t>
  </si>
  <si>
    <t>Beginning of Period</t>
  </si>
  <si>
    <t>Capital Expenditures/Additions (Disposals)</t>
  </si>
  <si>
    <t>Depreciation Expense</t>
  </si>
  <si>
    <t>Net PP&amp;E End of Period</t>
  </si>
  <si>
    <t>Retained Earnings (RE)</t>
  </si>
  <si>
    <t>Dividends</t>
  </si>
  <si>
    <t>RE End of Period</t>
  </si>
  <si>
    <t>Long Term Debt (LTD)</t>
  </si>
  <si>
    <t>Additions (Repayments)</t>
  </si>
  <si>
    <t>LTD End of Period</t>
  </si>
  <si>
    <t>Long Term Debt Interest</t>
  </si>
  <si>
    <t>Total Interest</t>
  </si>
  <si>
    <t>Summary lines</t>
  </si>
  <si>
    <t>Revenue</t>
  </si>
  <si>
    <t>EBITDA</t>
  </si>
  <si>
    <t>EBITDA Margin</t>
  </si>
  <si>
    <t>Net Income Margin</t>
  </si>
  <si>
    <t>Cash Flow</t>
  </si>
  <si>
    <t>Operations</t>
  </si>
  <si>
    <t>Investing</t>
  </si>
  <si>
    <t>Financing</t>
  </si>
  <si>
    <t>Change in Cash</t>
  </si>
  <si>
    <t>Ratio's</t>
  </si>
  <si>
    <t>Activity ratio's</t>
  </si>
  <si>
    <t>Total asset turnover</t>
  </si>
  <si>
    <t>Liquidity raito's</t>
  </si>
  <si>
    <t>Current ratio</t>
  </si>
  <si>
    <t>Quick ratio</t>
  </si>
  <si>
    <t>Financial leverage ratio's</t>
  </si>
  <si>
    <t>Assets/Equity</t>
  </si>
  <si>
    <t>Net debt to equity</t>
  </si>
  <si>
    <t>Interest cover</t>
  </si>
  <si>
    <t>Profitability</t>
  </si>
  <si>
    <t>Return on equity</t>
  </si>
  <si>
    <t>Return on assets</t>
  </si>
  <si>
    <t>Net profit margin</t>
  </si>
  <si>
    <t>Valuation - discounted cash flow</t>
  </si>
  <si>
    <t>Risk free rate</t>
  </si>
  <si>
    <t>Risk premium</t>
  </si>
  <si>
    <t>Beta</t>
  </si>
  <si>
    <t>Cost of Equity</t>
  </si>
  <si>
    <t>Equity Weight</t>
  </si>
  <si>
    <t>Cost of equity portion</t>
  </si>
  <si>
    <t>Cost of Debt</t>
  </si>
  <si>
    <t>Tax rate</t>
  </si>
  <si>
    <t>Cost of debt</t>
  </si>
  <si>
    <t>Debt Weight</t>
  </si>
  <si>
    <t>Cost of debt portion</t>
  </si>
  <si>
    <t>WACC</t>
  </si>
  <si>
    <t>Terminal Growth rate</t>
  </si>
  <si>
    <t># Shares Outstanding</t>
  </si>
  <si>
    <t>Current Markt price</t>
  </si>
  <si>
    <t>Terminal value</t>
  </si>
  <si>
    <t>Free cash flow to the firm</t>
  </si>
  <si>
    <t xml:space="preserve">Discounted cash flow </t>
  </si>
  <si>
    <t xml:space="preserve">Enterprise value </t>
  </si>
  <si>
    <t>Plus cash and marketable securities</t>
  </si>
  <si>
    <t>Less debt</t>
  </si>
  <si>
    <t>Equity value</t>
  </si>
  <si>
    <t>Shares outstanding</t>
  </si>
  <si>
    <t>Price per share</t>
  </si>
  <si>
    <t xml:space="preserve">Upside/downside </t>
  </si>
  <si>
    <t>Valuation - implied valution multiples</t>
  </si>
  <si>
    <t>Price to eanings</t>
  </si>
  <si>
    <t>Price to sales</t>
  </si>
  <si>
    <t>EV/EBITDA</t>
  </si>
  <si>
    <t>Dividend yield</t>
  </si>
  <si>
    <t>Free cash flow yield</t>
  </si>
  <si>
    <t>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</si>
</sst>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(#,##0\)_-;_-* &quot;-&quot;_-;_-@_-"/>
    <numFmt numFmtId="166" formatCode="0&quot;E&quot;"/>
    <numFmt numFmtId="167" formatCode="#,##0_);\(#,##0\);\-"/>
    <numFmt numFmtId="168" formatCode="0.0%"/>
    <numFmt numFmtId="169" formatCode="[Blue]#,##0;[Blue]\(#,##0\);\-"/>
    <numFmt numFmtId="170" formatCode="#,##0_);[Red]\(#,##0\);\-"/>
    <numFmt numFmtId="171" formatCode="#,##0.000_);\(#,##0.000\)"/>
    <numFmt numFmtId="172" formatCode="0.0"/>
    <numFmt numFmtId="173" formatCode="_(* #,##0_);_(* \(#,##0\);_(* &quot;-&quot;??_);_(@_)"/>
    <numFmt numFmtId="174" formatCode="&quot;$&quot;#,##0_);\(&quot;$&quot;#,##0\)"/>
    <numFmt numFmtId="175" formatCode="0.0\x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Roman"/>
    </font>
    <font>
      <b/>
      <sz val="11"/>
      <color rgb="FFFFFFFF"/>
      <name val="Times Roman"/>
    </font>
    <font>
      <sz val="11"/>
      <color theme="0"/>
      <name val="Times Roman"/>
    </font>
    <font>
      <sz val="11"/>
      <name val="Times Roman"/>
    </font>
    <font>
      <sz val="10"/>
      <name val="Bookman"/>
      <family val="1"/>
    </font>
    <font>
      <i/>
      <sz val="11"/>
      <color theme="0"/>
      <name val="Times Roman"/>
    </font>
    <font>
      <b/>
      <sz val="11"/>
      <color theme="0"/>
      <name val="Times Roman"/>
    </font>
    <font>
      <i/>
      <sz val="11"/>
      <color theme="1"/>
      <name val="Times Roman"/>
    </font>
    <font>
      <i/>
      <sz val="11"/>
      <name val="Times Roman"/>
    </font>
    <font>
      <sz val="13"/>
      <color theme="0"/>
      <name val="Times Roman"/>
    </font>
    <font>
      <b/>
      <sz val="11"/>
      <name val="Times Roman"/>
    </font>
    <font>
      <sz val="11"/>
      <color theme="4"/>
      <name val="Times Roman"/>
    </font>
    <font>
      <sz val="11"/>
      <color rgb="FF0070C0"/>
      <name val="Times Roman"/>
    </font>
    <font>
      <b/>
      <sz val="11"/>
      <color theme="1"/>
      <name val="Times Roman"/>
    </font>
    <font>
      <sz val="11"/>
      <color theme="2" tint="-9.9978637043366805E-2"/>
      <name val="Times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0" xfId="0" applyFont="1" applyFill="1" applyAlignment="1">
      <alignment horizontal="left" vertical="center" readingOrder="1"/>
    </xf>
    <xf numFmtId="37" fontId="4" fillId="3" borderId="0" xfId="0" applyNumberFormat="1" applyFont="1" applyFill="1" applyAlignment="1">
      <alignment vertical="top"/>
    </xf>
    <xf numFmtId="37" fontId="4" fillId="4" borderId="0" xfId="0" applyNumberFormat="1" applyFont="1" applyFill="1"/>
    <xf numFmtId="37" fontId="2" fillId="4" borderId="0" xfId="0" applyNumberFormat="1" applyFont="1" applyFill="1"/>
    <xf numFmtId="0" fontId="5" fillId="2" borderId="0" xfId="0" applyFont="1" applyFill="1"/>
    <xf numFmtId="37" fontId="2" fillId="2" borderId="0" xfId="0" applyNumberFormat="1" applyFont="1" applyFill="1"/>
    <xf numFmtId="165" fontId="7" fillId="3" borderId="0" xfId="4" applyNumberFormat="1" applyFont="1" applyFill="1" applyAlignment="1" applyProtection="1">
      <alignment horizontal="left"/>
      <protection locked="0"/>
    </xf>
    <xf numFmtId="1" fontId="8" fillId="3" borderId="0" xfId="0" applyNumberFormat="1" applyFont="1" applyFill="1" applyAlignment="1">
      <alignment horizontal="right"/>
    </xf>
    <xf numFmtId="166" fontId="8" fillId="4" borderId="0" xfId="0" applyNumberFormat="1" applyFont="1" applyFill="1" applyAlignment="1">
      <alignment horizontal="right"/>
    </xf>
    <xf numFmtId="165" fontId="9" fillId="2" borderId="0" xfId="4" applyNumberFormat="1" applyFont="1" applyFill="1" applyProtection="1">
      <protection locked="0"/>
    </xf>
    <xf numFmtId="165" fontId="10" fillId="2" borderId="0" xfId="4" applyNumberFormat="1" applyFont="1" applyFill="1" applyAlignment="1">
      <alignment horizontal="right"/>
    </xf>
    <xf numFmtId="165" fontId="2" fillId="2" borderId="0" xfId="4" applyNumberFormat="1" applyFont="1" applyFill="1" applyProtection="1">
      <protection locked="0"/>
    </xf>
    <xf numFmtId="0" fontId="8" fillId="2" borderId="0" xfId="0" applyFont="1" applyFill="1"/>
    <xf numFmtId="167" fontId="4" fillId="2" borderId="0" xfId="0" applyNumberFormat="1" applyFont="1" applyFill="1"/>
    <xf numFmtId="165" fontId="11" fillId="3" borderId="0" xfId="4" applyNumberFormat="1" applyFont="1" applyFill="1" applyAlignment="1" applyProtection="1">
      <alignment horizontal="left"/>
      <protection locked="0"/>
    </xf>
    <xf numFmtId="1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0" fontId="12" fillId="2" borderId="0" xfId="0" applyFont="1" applyFill="1"/>
    <xf numFmtId="167" fontId="5" fillId="2" borderId="0" xfId="0" applyNumberFormat="1" applyFont="1" applyFill="1"/>
    <xf numFmtId="0" fontId="5" fillId="2" borderId="0" xfId="0" applyFont="1" applyFill="1" applyAlignment="1">
      <alignment horizontal="left"/>
    </xf>
    <xf numFmtId="9" fontId="13" fillId="2" borderId="0" xfId="3" applyNumberFormat="1" applyFont="1" applyFill="1"/>
    <xf numFmtId="9" fontId="14" fillId="2" borderId="0" xfId="3" applyNumberFormat="1" applyFont="1" applyFill="1"/>
    <xf numFmtId="167" fontId="14" fillId="2" borderId="0" xfId="0" applyNumberFormat="1" applyFont="1" applyFill="1"/>
    <xf numFmtId="167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14" fillId="2" borderId="0" xfId="0" applyFont="1" applyFill="1"/>
    <xf numFmtId="40" fontId="13" fillId="2" borderId="0" xfId="0" applyNumberFormat="1" applyFont="1" applyFill="1"/>
    <xf numFmtId="167" fontId="13" fillId="2" borderId="0" xfId="0" applyNumberFormat="1" applyFont="1" applyFill="1"/>
    <xf numFmtId="168" fontId="13" fillId="2" borderId="0" xfId="3" applyNumberFormat="1" applyFont="1" applyFill="1"/>
    <xf numFmtId="169" fontId="5" fillId="2" borderId="0" xfId="0" applyNumberFormat="1" applyFont="1" applyFill="1" applyProtection="1">
      <protection locked="0"/>
    </xf>
    <xf numFmtId="167" fontId="12" fillId="2" borderId="0" xfId="0" applyNumberFormat="1" applyFont="1" applyFill="1"/>
    <xf numFmtId="167" fontId="5" fillId="2" borderId="1" xfId="0" applyNumberFormat="1" applyFont="1" applyFill="1" applyBorder="1"/>
    <xf numFmtId="0" fontId="12" fillId="2" borderId="2" xfId="0" applyFont="1" applyFill="1" applyBorder="1"/>
    <xf numFmtId="170" fontId="12" fillId="2" borderId="0" xfId="0" applyNumberFormat="1" applyFont="1" applyFill="1"/>
    <xf numFmtId="170" fontId="12" fillId="2" borderId="2" xfId="0" applyNumberFormat="1" applyFont="1" applyFill="1" applyBorder="1"/>
    <xf numFmtId="170" fontId="12" fillId="2" borderId="2" xfId="0" applyNumberFormat="1" applyFont="1" applyFill="1" applyBorder="1" applyAlignment="1">
      <alignment horizontal="right"/>
    </xf>
    <xf numFmtId="0" fontId="12" fillId="2" borderId="3" xfId="0" applyFont="1" applyFill="1" applyBorder="1"/>
    <xf numFmtId="170" fontId="12" fillId="2" borderId="3" xfId="0" applyNumberFormat="1" applyFont="1" applyFill="1" applyBorder="1"/>
    <xf numFmtId="37" fontId="2" fillId="2" borderId="0" xfId="0" applyNumberFormat="1" applyFont="1" applyFill="1" applyAlignment="1">
      <alignment vertical="center"/>
    </xf>
    <xf numFmtId="0" fontId="10" fillId="2" borderId="0" xfId="0" applyFont="1" applyFill="1" applyBorder="1"/>
    <xf numFmtId="167" fontId="5" fillId="2" borderId="0" xfId="0" applyNumberFormat="1" applyFont="1" applyFill="1" applyBorder="1"/>
    <xf numFmtId="0" fontId="5" fillId="2" borderId="0" xfId="0" applyFont="1" applyFill="1" applyBorder="1"/>
    <xf numFmtId="170" fontId="5" fillId="2" borderId="0" xfId="0" applyNumberFormat="1" applyFont="1" applyFill="1" applyBorder="1"/>
    <xf numFmtId="0" fontId="12" fillId="2" borderId="0" xfId="0" applyFont="1" applyFill="1" applyBorder="1"/>
    <xf numFmtId="0" fontId="5" fillId="2" borderId="2" xfId="0" applyFont="1" applyFill="1" applyBorder="1"/>
    <xf numFmtId="167" fontId="5" fillId="2" borderId="2" xfId="0" applyNumberFormat="1" applyFont="1" applyFill="1" applyBorder="1"/>
    <xf numFmtId="170" fontId="5" fillId="2" borderId="0" xfId="0" applyNumberFormat="1" applyFont="1" applyFill="1"/>
    <xf numFmtId="170" fontId="0" fillId="2" borderId="0" xfId="0" applyNumberFormat="1" applyFill="1"/>
    <xf numFmtId="170" fontId="5" fillId="2" borderId="2" xfId="0" applyNumberFormat="1" applyFont="1" applyFill="1" applyBorder="1"/>
    <xf numFmtId="170" fontId="12" fillId="2" borderId="0" xfId="0" applyNumberFormat="1" applyFont="1" applyFill="1" applyBorder="1"/>
    <xf numFmtId="0" fontId="10" fillId="2" borderId="0" xfId="0" applyFont="1" applyFill="1"/>
    <xf numFmtId="171" fontId="10" fillId="2" borderId="0" xfId="1" applyNumberFormat="1" applyFont="1" applyFill="1"/>
    <xf numFmtId="167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indent="1"/>
    </xf>
    <xf numFmtId="0" fontId="12" fillId="2" borderId="4" xfId="0" applyFont="1" applyFill="1" applyBorder="1"/>
    <xf numFmtId="167" fontId="12" fillId="2" borderId="4" xfId="0" applyNumberFormat="1" applyFont="1" applyFill="1" applyBorder="1"/>
    <xf numFmtId="167" fontId="0" fillId="2" borderId="0" xfId="0" applyNumberFormat="1" applyFill="1"/>
    <xf numFmtId="167" fontId="12" fillId="2" borderId="2" xfId="0" applyNumberFormat="1" applyFont="1" applyFill="1" applyBorder="1"/>
    <xf numFmtId="0" fontId="10" fillId="2" borderId="0" xfId="0" applyFont="1" applyFill="1" applyAlignment="1">
      <alignment horizontal="left" indent="1"/>
    </xf>
    <xf numFmtId="168" fontId="10" fillId="2" borderId="0" xfId="3" applyNumberFormat="1" applyFont="1" applyFill="1"/>
    <xf numFmtId="172" fontId="5" fillId="2" borderId="0" xfId="0" applyNumberFormat="1" applyFont="1" applyFill="1"/>
    <xf numFmtId="0" fontId="15" fillId="2" borderId="0" xfId="0" applyFont="1" applyFill="1"/>
    <xf numFmtId="172" fontId="2" fillId="2" borderId="0" xfId="0" applyNumberFormat="1" applyFont="1" applyFill="1"/>
    <xf numFmtId="9" fontId="2" fillId="2" borderId="0" xfId="3" applyFont="1" applyFill="1"/>
    <xf numFmtId="2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9" fontId="2" fillId="2" borderId="0" xfId="3" applyFont="1" applyFill="1" applyBorder="1" applyAlignment="1">
      <alignment horizontal="right"/>
    </xf>
    <xf numFmtId="37" fontId="5" fillId="2" borderId="0" xfId="0" applyNumberFormat="1" applyFont="1" applyFill="1" applyBorder="1" applyAlignment="1">
      <alignment horizontal="right"/>
    </xf>
    <xf numFmtId="9" fontId="2" fillId="2" borderId="1" xfId="3" applyFont="1" applyFill="1" applyBorder="1" applyAlignment="1">
      <alignment horizontal="right"/>
    </xf>
    <xf numFmtId="37" fontId="10" fillId="2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9" fontId="15" fillId="2" borderId="0" xfId="3" applyNumberFormat="1" applyFont="1" applyFill="1" applyBorder="1" applyAlignment="1">
      <alignment horizontal="right"/>
    </xf>
    <xf numFmtId="10" fontId="2" fillId="2" borderId="0" xfId="3" applyNumberFormat="1" applyFont="1" applyFill="1" applyBorder="1" applyAlignment="1">
      <alignment horizontal="right"/>
    </xf>
    <xf numFmtId="9" fontId="2" fillId="2" borderId="0" xfId="3" applyFont="1" applyFill="1" applyBorder="1"/>
    <xf numFmtId="37" fontId="5" fillId="2" borderId="0" xfId="0" applyNumberFormat="1" applyFont="1" applyFill="1" applyBorder="1"/>
    <xf numFmtId="9" fontId="5" fillId="2" borderId="0" xfId="3" applyFont="1" applyFill="1" applyBorder="1"/>
    <xf numFmtId="9" fontId="2" fillId="2" borderId="1" xfId="3" applyFont="1" applyFill="1" applyBorder="1"/>
    <xf numFmtId="9" fontId="15" fillId="2" borderId="0" xfId="3" applyNumberFormat="1" applyFont="1" applyFill="1" applyBorder="1"/>
    <xf numFmtId="0" fontId="2" fillId="2" borderId="5" xfId="0" applyFont="1" applyFill="1" applyBorder="1"/>
    <xf numFmtId="9" fontId="2" fillId="2" borderId="5" xfId="3" applyNumberFormat="1" applyFont="1" applyFill="1" applyBorder="1"/>
    <xf numFmtId="168" fontId="15" fillId="2" borderId="0" xfId="3" applyNumberFormat="1" applyFont="1" applyFill="1" applyBorder="1"/>
    <xf numFmtId="168" fontId="2" fillId="2" borderId="0" xfId="3" applyNumberFormat="1" applyFont="1" applyFill="1" applyBorder="1"/>
    <xf numFmtId="14" fontId="2" fillId="2" borderId="0" xfId="0" applyNumberFormat="1" applyFont="1" applyFill="1" applyBorder="1"/>
    <xf numFmtId="173" fontId="2" fillId="2" borderId="0" xfId="1" applyNumberFormat="1" applyFont="1" applyFill="1" applyBorder="1"/>
    <xf numFmtId="174" fontId="2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165" fontId="11" fillId="2" borderId="0" xfId="4" applyNumberFormat="1" applyFont="1" applyFill="1" applyAlignment="1" applyProtection="1">
      <alignment horizontal="left"/>
      <protection locked="0"/>
    </xf>
    <xf numFmtId="0" fontId="8" fillId="5" borderId="0" xfId="0" applyFont="1" applyFill="1" applyAlignment="1">
      <alignment horizontal="center"/>
    </xf>
    <xf numFmtId="0" fontId="16" fillId="2" borderId="0" xfId="0" applyFont="1" applyFill="1"/>
    <xf numFmtId="0" fontId="8" fillId="2" borderId="0" xfId="0" applyFont="1" applyFill="1" applyAlignment="1">
      <alignment horizontal="center"/>
    </xf>
    <xf numFmtId="173" fontId="5" fillId="2" borderId="0" xfId="1" applyNumberFormat="1" applyFont="1" applyFill="1"/>
    <xf numFmtId="0" fontId="5" fillId="2" borderId="5" xfId="0" applyFont="1" applyFill="1" applyBorder="1"/>
    <xf numFmtId="173" fontId="5" fillId="2" borderId="5" xfId="1" applyNumberFormat="1" applyFont="1" applyFill="1" applyBorder="1"/>
    <xf numFmtId="43" fontId="5" fillId="2" borderId="5" xfId="0" applyNumberFormat="1" applyFont="1" applyFill="1" applyBorder="1"/>
    <xf numFmtId="0" fontId="12" fillId="2" borderId="5" xfId="0" applyFont="1" applyFill="1" applyBorder="1"/>
    <xf numFmtId="173" fontId="12" fillId="2" borderId="5" xfId="1" applyNumberFormat="1" applyFont="1" applyFill="1" applyBorder="1"/>
    <xf numFmtId="43" fontId="5" fillId="2" borderId="0" xfId="0" applyNumberFormat="1" applyFont="1" applyFill="1"/>
    <xf numFmtId="173" fontId="12" fillId="2" borderId="0" xfId="0" applyNumberFormat="1" applyFont="1" applyFill="1"/>
    <xf numFmtId="0" fontId="5" fillId="2" borderId="6" xfId="0" applyFont="1" applyFill="1" applyBorder="1"/>
    <xf numFmtId="167" fontId="5" fillId="2" borderId="6" xfId="0" applyNumberFormat="1" applyFont="1" applyFill="1" applyBorder="1"/>
    <xf numFmtId="173" fontId="5" fillId="2" borderId="0" xfId="0" applyNumberFormat="1" applyFont="1" applyFill="1" applyBorder="1"/>
    <xf numFmtId="9" fontId="5" fillId="2" borderId="0" xfId="3" applyFont="1" applyFill="1"/>
    <xf numFmtId="175" fontId="2" fillId="2" borderId="0" xfId="0" applyNumberFormat="1" applyFont="1" applyFill="1"/>
  </cellXfs>
  <cellStyles count="5">
    <cellStyle name="Comma" xfId="1" builtinId="3"/>
    <cellStyle name="Comma 2" xfId="4" xr:uid="{F12C6C8C-ACB1-824C-9FC8-E23B88873B76}"/>
    <cellStyle name="Currency" xfId="2" builtinId="4"/>
    <cellStyle name="Normal" xfId="0" builtinId="0"/>
    <cellStyle name="Percent" xfId="3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hers/Banks%20resource/Banks-03-SHAW-Valu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-Model"/>
      <sheetName val="Loans"/>
      <sheetName val="1H-Stub"/>
      <sheetName val="Capital"/>
      <sheetName val="Summary"/>
      <sheetName val="Val-Graph"/>
      <sheetName val="DDM"/>
      <sheetName val="Res-Inc"/>
      <sheetName val="Cost-Equity"/>
      <sheetName val="Regression"/>
      <sheetName val="Public-Comps"/>
      <sheetName val="Graphs"/>
      <sheetName val="Pub-Comps-Data"/>
      <sheetName val="MA-Comps"/>
      <sheetName val="Inputs"/>
    </sheetNames>
    <sheetDataSet>
      <sheetData sheetId="0">
        <row r="7">
          <cell r="D7" t="str">
            <v>Shawbrook Group PLC</v>
          </cell>
        </row>
        <row r="8">
          <cell r="D8" t="str">
            <v>SHAW</v>
          </cell>
          <cell r="J8">
            <v>250</v>
          </cell>
        </row>
        <row r="9">
          <cell r="J9">
            <v>3.274</v>
          </cell>
        </row>
        <row r="10">
          <cell r="D10">
            <v>42004</v>
          </cell>
        </row>
        <row r="11">
          <cell r="D11">
            <v>42185</v>
          </cell>
        </row>
        <row r="12">
          <cell r="D12">
            <v>42265</v>
          </cell>
        </row>
        <row r="14">
          <cell r="D14">
            <v>0.13</v>
          </cell>
        </row>
        <row r="15">
          <cell r="D15">
            <v>0.2</v>
          </cell>
        </row>
        <row r="17">
          <cell r="D17">
            <v>1000</v>
          </cell>
        </row>
        <row r="19">
          <cell r="D19" t="str">
            <v>Base</v>
          </cell>
        </row>
        <row r="20">
          <cell r="D20">
            <v>1</v>
          </cell>
        </row>
      </sheetData>
      <sheetData sheetId="1"/>
      <sheetData sheetId="2"/>
      <sheetData sheetId="3"/>
      <sheetData sheetId="4"/>
      <sheetData sheetId="5"/>
      <sheetData sheetId="6">
        <row r="16">
          <cell r="D16">
            <v>0.28493150684931506</v>
          </cell>
        </row>
      </sheetData>
      <sheetData sheetId="7"/>
      <sheetData sheetId="8">
        <row r="7">
          <cell r="E7">
            <v>1.9400000000000001E-2</v>
          </cell>
        </row>
      </sheetData>
      <sheetData sheetId="9"/>
      <sheetData sheetId="10"/>
      <sheetData sheetId="11"/>
      <sheetData sheetId="12">
        <row r="1">
          <cell r="G1" t="str">
            <v>STB</v>
          </cell>
          <cell r="L1" t="str">
            <v>ALD</v>
          </cell>
          <cell r="Q1" t="str">
            <v>OSB</v>
          </cell>
          <cell r="V1" t="str">
            <v>VM.</v>
          </cell>
          <cell r="AA1" t="str">
            <v>SHAW</v>
          </cell>
        </row>
        <row r="2">
          <cell r="G2" t="str">
            <v>Secure Trust Bank Plc</v>
          </cell>
          <cell r="L2" t="str">
            <v>Aldermore Group PLC</v>
          </cell>
          <cell r="Q2" t="str">
            <v>OneSavings Bank PLC</v>
          </cell>
          <cell r="V2" t="str">
            <v>Virgin Money Holdings PLC</v>
          </cell>
          <cell r="AA2" t="str">
            <v>Shawbrook Group PLC</v>
          </cell>
        </row>
        <row r="3">
          <cell r="D3" t="str">
            <v>Calendarization</v>
          </cell>
          <cell r="I3" t="str">
            <v>Calendarization</v>
          </cell>
          <cell r="N3" t="str">
            <v>Calendarization</v>
          </cell>
          <cell r="S3" t="str">
            <v>Calendarization</v>
          </cell>
          <cell r="X3" t="str">
            <v>Calendarization</v>
          </cell>
        </row>
        <row r="4">
          <cell r="D4">
            <v>41820</v>
          </cell>
          <cell r="E4">
            <v>42185</v>
          </cell>
          <cell r="F4">
            <v>42004</v>
          </cell>
          <cell r="G4">
            <v>42185</v>
          </cell>
          <cell r="I4">
            <v>41820</v>
          </cell>
          <cell r="J4">
            <v>42185</v>
          </cell>
          <cell r="K4">
            <v>42004</v>
          </cell>
          <cell r="L4">
            <v>42185</v>
          </cell>
          <cell r="N4">
            <v>41820</v>
          </cell>
          <cell r="O4">
            <v>42185</v>
          </cell>
          <cell r="P4">
            <v>42004</v>
          </cell>
          <cell r="Q4">
            <v>42185</v>
          </cell>
          <cell r="S4">
            <v>41820</v>
          </cell>
          <cell r="T4">
            <v>42185</v>
          </cell>
          <cell r="U4">
            <v>42004</v>
          </cell>
          <cell r="V4">
            <v>42185</v>
          </cell>
          <cell r="X4">
            <v>41820</v>
          </cell>
          <cell r="Y4">
            <v>42185</v>
          </cell>
          <cell r="Z4">
            <v>42004</v>
          </cell>
          <cell r="AA4">
            <v>42185</v>
          </cell>
        </row>
        <row r="5">
          <cell r="D5" t="str">
            <v>Old Partial</v>
          </cell>
          <cell r="E5" t="str">
            <v>New Partial</v>
          </cell>
          <cell r="F5" t="str">
            <v>Full Year</v>
          </cell>
          <cell r="G5" t="str">
            <v>LTM</v>
          </cell>
          <cell r="I5" t="str">
            <v>Old Partial</v>
          </cell>
          <cell r="J5" t="str">
            <v>New Partial</v>
          </cell>
          <cell r="K5" t="str">
            <v>Full Year</v>
          </cell>
          <cell r="L5" t="str">
            <v>LTM</v>
          </cell>
          <cell r="N5" t="str">
            <v>Old Partial</v>
          </cell>
          <cell r="O5" t="str">
            <v>New Partial</v>
          </cell>
          <cell r="P5" t="str">
            <v>Full Year</v>
          </cell>
          <cell r="Q5" t="str">
            <v>LTM</v>
          </cell>
          <cell r="S5" t="str">
            <v>Old Partial</v>
          </cell>
          <cell r="T5" t="str">
            <v>New Partial</v>
          </cell>
          <cell r="U5" t="str">
            <v>Full Year</v>
          </cell>
          <cell r="V5" t="str">
            <v>LTM</v>
          </cell>
          <cell r="X5" t="str">
            <v>Old Partial</v>
          </cell>
          <cell r="Y5" t="str">
            <v>New Partial</v>
          </cell>
          <cell r="Z5" t="str">
            <v>FY</v>
          </cell>
          <cell r="AA5" t="str">
            <v>LTM</v>
          </cell>
        </row>
        <row r="6">
          <cell r="D6">
            <v>11.4</v>
          </cell>
          <cell r="E6">
            <v>16</v>
          </cell>
          <cell r="F6">
            <v>26.1</v>
          </cell>
          <cell r="G6">
            <v>30.700000000000003</v>
          </cell>
          <cell r="I6">
            <v>18.608000000000001</v>
          </cell>
          <cell r="J6">
            <v>39.54</v>
          </cell>
          <cell r="K6">
            <v>50.305</v>
          </cell>
          <cell r="L6">
            <v>71.236999999999995</v>
          </cell>
          <cell r="N6">
            <v>24.817</v>
          </cell>
          <cell r="O6">
            <v>46.597000000000001</v>
          </cell>
          <cell r="P6">
            <v>63.744999999999997</v>
          </cell>
          <cell r="Q6">
            <v>85.525000000000006</v>
          </cell>
          <cell r="S6">
            <v>6.7</v>
          </cell>
          <cell r="T6">
            <v>55</v>
          </cell>
          <cell r="U6">
            <v>34</v>
          </cell>
          <cell r="V6">
            <v>82.3</v>
          </cell>
          <cell r="X6">
            <v>13.399999999999995</v>
          </cell>
          <cell r="Y6">
            <v>24.700000000000017</v>
          </cell>
          <cell r="Z6">
            <v>45.300000000000026</v>
          </cell>
          <cell r="AA6">
            <v>56.600000000000051</v>
          </cell>
        </row>
        <row r="7">
          <cell r="D7">
            <v>-3</v>
          </cell>
          <cell r="E7">
            <v>-3.1</v>
          </cell>
          <cell r="F7">
            <v>-5.6</v>
          </cell>
          <cell r="G7">
            <v>-5.6999999999999993</v>
          </cell>
          <cell r="I7">
            <v>-4.3639999999999999</v>
          </cell>
          <cell r="J7">
            <v>-8.2989999999999995</v>
          </cell>
          <cell r="K7">
            <v>-11.871</v>
          </cell>
          <cell r="L7">
            <v>-15.806000000000001</v>
          </cell>
          <cell r="N7">
            <v>-4.4790000000000001</v>
          </cell>
          <cell r="O7">
            <v>-9.6159999999999997</v>
          </cell>
          <cell r="P7">
            <v>-12.208</v>
          </cell>
          <cell r="Q7">
            <v>-17.344999999999999</v>
          </cell>
          <cell r="S7">
            <v>-15.1</v>
          </cell>
          <cell r="T7">
            <v>-12.1</v>
          </cell>
          <cell r="U7">
            <v>-25.3</v>
          </cell>
          <cell r="V7">
            <v>-22.299999999999997</v>
          </cell>
          <cell r="X7">
            <v>-3.5</v>
          </cell>
          <cell r="Y7">
            <v>-5.9</v>
          </cell>
          <cell r="Z7">
            <v>-10.8</v>
          </cell>
          <cell r="AA7">
            <v>-13.200000000000003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-3.4649999999999999</v>
          </cell>
          <cell r="K8">
            <v>0</v>
          </cell>
          <cell r="L8">
            <v>-3.4649999999999999</v>
          </cell>
          <cell r="N8">
            <v>-0.72499999999999998</v>
          </cell>
          <cell r="O8">
            <v>-0.72499999999999998</v>
          </cell>
          <cell r="P8">
            <v>-1.45</v>
          </cell>
          <cell r="Q8">
            <v>-1.4499999999999997</v>
          </cell>
          <cell r="S8">
            <v>-6.8</v>
          </cell>
          <cell r="T8">
            <v>-5</v>
          </cell>
          <cell r="U8">
            <v>-10.3</v>
          </cell>
          <cell r="V8">
            <v>-8.5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D9">
            <v>8.4</v>
          </cell>
          <cell r="E9">
            <v>12.9</v>
          </cell>
          <cell r="F9">
            <v>20.5</v>
          </cell>
          <cell r="G9">
            <v>25</v>
          </cell>
          <cell r="I9">
            <v>14.244</v>
          </cell>
          <cell r="J9">
            <v>27.776</v>
          </cell>
          <cell r="K9">
            <v>38.433999999999997</v>
          </cell>
          <cell r="L9">
            <v>51.965999999999994</v>
          </cell>
          <cell r="N9">
            <v>19.613</v>
          </cell>
          <cell r="O9">
            <v>36.256</v>
          </cell>
          <cell r="P9">
            <v>50.086999999999996</v>
          </cell>
          <cell r="Q9">
            <v>66.72999999999999</v>
          </cell>
          <cell r="S9">
            <v>-15.2</v>
          </cell>
          <cell r="T9">
            <v>37.9</v>
          </cell>
          <cell r="U9">
            <v>-1.6000000000000014</v>
          </cell>
          <cell r="V9">
            <v>51.5</v>
          </cell>
          <cell r="X9">
            <v>9.899999999999995</v>
          </cell>
          <cell r="Y9">
            <v>18.800000000000018</v>
          </cell>
          <cell r="Z9">
            <v>34.500000000000028</v>
          </cell>
          <cell r="AA9">
            <v>43.400000000000048</v>
          </cell>
        </row>
        <row r="10">
          <cell r="D10">
            <v>0.26315789473684209</v>
          </cell>
          <cell r="E10">
            <v>0.19375000000000001</v>
          </cell>
          <cell r="F10">
            <v>0.21455938697318006</v>
          </cell>
          <cell r="G10">
            <v>0.18566775244299671</v>
          </cell>
          <cell r="I10">
            <v>0.23452278589853826</v>
          </cell>
          <cell r="J10">
            <v>0.20988872028325745</v>
          </cell>
          <cell r="K10">
            <v>0.23598051883510587</v>
          </cell>
          <cell r="L10">
            <v>0.22187907969173326</v>
          </cell>
          <cell r="N10">
            <v>0.18048112181166137</v>
          </cell>
          <cell r="O10">
            <v>0.20636521664484836</v>
          </cell>
          <cell r="P10">
            <v>0.19151305984783121</v>
          </cell>
          <cell r="Q10">
            <v>0.20280619701841565</v>
          </cell>
          <cell r="S10">
            <v>0.215</v>
          </cell>
          <cell r="T10">
            <v>0.22</v>
          </cell>
          <cell r="U10">
            <v>0.215</v>
          </cell>
          <cell r="V10">
            <v>0.27095990279465371</v>
          </cell>
          <cell r="X10">
            <v>0.26119402985074636</v>
          </cell>
          <cell r="Y10">
            <v>0.23886639676113344</v>
          </cell>
          <cell r="Z10">
            <v>0.23841059602648995</v>
          </cell>
          <cell r="AA10">
            <v>0.23321554770318006</v>
          </cell>
        </row>
        <row r="12">
          <cell r="D12">
            <v>11.4</v>
          </cell>
          <cell r="E12">
            <v>16</v>
          </cell>
          <cell r="F12">
            <v>26.1</v>
          </cell>
          <cell r="G12">
            <v>30.700000000000003</v>
          </cell>
          <cell r="I12">
            <v>18.608000000000001</v>
          </cell>
          <cell r="J12">
            <v>39.54</v>
          </cell>
          <cell r="K12">
            <v>50.305</v>
          </cell>
          <cell r="L12">
            <v>71.236999999999995</v>
          </cell>
          <cell r="N12">
            <v>24.817</v>
          </cell>
          <cell r="O12">
            <v>46.597000000000001</v>
          </cell>
          <cell r="P12">
            <v>63.744999999999997</v>
          </cell>
          <cell r="Q12">
            <v>85.525000000000006</v>
          </cell>
          <cell r="S12">
            <v>6.7</v>
          </cell>
          <cell r="T12">
            <v>55</v>
          </cell>
          <cell r="U12">
            <v>34</v>
          </cell>
          <cell r="V12">
            <v>82.3</v>
          </cell>
          <cell r="X12">
            <v>13.399999999999995</v>
          </cell>
          <cell r="Y12">
            <v>24.700000000000017</v>
          </cell>
          <cell r="Z12">
            <v>45.300000000000026</v>
          </cell>
          <cell r="AA12">
            <v>56.600000000000051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2.2309999999999999</v>
          </cell>
          <cell r="J13">
            <v>4.0789999999999997</v>
          </cell>
          <cell r="K13">
            <v>6.0140000000000002</v>
          </cell>
          <cell r="L13">
            <v>7.8620000000000001</v>
          </cell>
          <cell r="N13">
            <v>5.5759999999999996</v>
          </cell>
          <cell r="O13">
            <v>1.6950000000000001</v>
          </cell>
          <cell r="P13">
            <v>7.4279999999999999</v>
          </cell>
          <cell r="Q13">
            <v>3.5469999999999997</v>
          </cell>
          <cell r="S13">
            <v>27.3</v>
          </cell>
          <cell r="T13">
            <v>0</v>
          </cell>
          <cell r="U13">
            <v>49.6</v>
          </cell>
          <cell r="V13">
            <v>22.3</v>
          </cell>
          <cell r="X13">
            <v>0.6</v>
          </cell>
          <cell r="Y13">
            <v>4.2</v>
          </cell>
          <cell r="Z13">
            <v>0.6</v>
          </cell>
          <cell r="AA13">
            <v>4.2</v>
          </cell>
        </row>
        <row r="14">
          <cell r="D14">
            <v>11.4</v>
          </cell>
          <cell r="E14">
            <v>16</v>
          </cell>
          <cell r="F14">
            <v>26.1</v>
          </cell>
          <cell r="G14">
            <v>30.700000000000003</v>
          </cell>
          <cell r="I14">
            <v>20.838999999999999</v>
          </cell>
          <cell r="J14">
            <v>43.619</v>
          </cell>
          <cell r="K14">
            <v>56.319000000000003</v>
          </cell>
          <cell r="L14">
            <v>79.099000000000004</v>
          </cell>
          <cell r="N14">
            <v>30.393000000000001</v>
          </cell>
          <cell r="O14">
            <v>48.292000000000002</v>
          </cell>
          <cell r="P14">
            <v>71.173000000000002</v>
          </cell>
          <cell r="Q14">
            <v>89.072000000000003</v>
          </cell>
          <cell r="S14">
            <v>34</v>
          </cell>
          <cell r="T14">
            <v>55</v>
          </cell>
          <cell r="U14">
            <v>83.6</v>
          </cell>
          <cell r="V14">
            <v>104.6</v>
          </cell>
          <cell r="X14">
            <v>13.999999999999995</v>
          </cell>
          <cell r="Y14">
            <v>28.900000000000016</v>
          </cell>
          <cell r="Z14">
            <v>45.900000000000027</v>
          </cell>
          <cell r="AA14">
            <v>60.800000000000047</v>
          </cell>
        </row>
        <row r="16">
          <cell r="D16">
            <v>8.4</v>
          </cell>
          <cell r="E16">
            <v>12.9</v>
          </cell>
          <cell r="F16">
            <v>20.5</v>
          </cell>
          <cell r="G16">
            <v>25</v>
          </cell>
          <cell r="I16">
            <v>15.951779664660361</v>
          </cell>
          <cell r="J16">
            <v>30.998863909964594</v>
          </cell>
          <cell r="K16">
            <v>43.028813159725679</v>
          </cell>
          <cell r="L16">
            <v>58.075897405029906</v>
          </cell>
          <cell r="N16">
            <v>24.182637264778176</v>
          </cell>
          <cell r="O16">
            <v>37.601210957786982</v>
          </cell>
          <cell r="P16">
            <v>56.09244099145031</v>
          </cell>
          <cell r="Q16">
            <v>69.511014684459113</v>
          </cell>
          <cell r="S16">
            <v>19.89</v>
          </cell>
          <cell r="T16">
            <v>37.9</v>
          </cell>
          <cell r="U16">
            <v>55.326000000000008</v>
          </cell>
          <cell r="V16">
            <v>73.335999999999999</v>
          </cell>
          <cell r="X16">
            <v>10.343283582089548</v>
          </cell>
          <cell r="Y16">
            <v>21.996761133603258</v>
          </cell>
          <cell r="Z16">
            <v>34.956953642384128</v>
          </cell>
          <cell r="AA16">
            <v>46.610431193897838</v>
          </cell>
        </row>
        <row r="17">
          <cell r="D17">
            <v>7.4</v>
          </cell>
          <cell r="E17">
            <v>9.5</v>
          </cell>
          <cell r="F17">
            <v>10.199999999999999</v>
          </cell>
          <cell r="G17">
            <v>12.299999999999999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9.48</v>
          </cell>
          <cell r="P17">
            <v>0</v>
          </cell>
          <cell r="Q17">
            <v>9.48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D18">
            <v>0.88095238095238093</v>
          </cell>
          <cell r="E18">
            <v>0.73643410852713176</v>
          </cell>
          <cell r="F18">
            <v>0.49756097560975604</v>
          </cell>
          <cell r="G18">
            <v>0.49199999999999994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0.25211953973085405</v>
          </cell>
          <cell r="P18">
            <v>0</v>
          </cell>
          <cell r="Q18">
            <v>0.13638126335853196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20">
          <cell r="G20">
            <v>0.2</v>
          </cell>
          <cell r="L20">
            <v>0.2</v>
          </cell>
          <cell r="Q20">
            <v>0.2</v>
          </cell>
          <cell r="V20">
            <v>0.2</v>
          </cell>
          <cell r="AA20">
            <v>0.2</v>
          </cell>
        </row>
        <row r="22">
          <cell r="D22" t="str">
            <v>Balance Sheet Data:</v>
          </cell>
          <cell r="I22" t="str">
            <v>Balance Sheet Data:</v>
          </cell>
          <cell r="N22" t="str">
            <v>Balance Sheet Data:</v>
          </cell>
          <cell r="S22" t="str">
            <v>Balance Sheet Data:</v>
          </cell>
          <cell r="X22" t="str">
            <v>Balance Sheet Data:</v>
          </cell>
        </row>
        <row r="23">
          <cell r="D23">
            <v>41820</v>
          </cell>
          <cell r="E23">
            <v>42185</v>
          </cell>
          <cell r="F23">
            <v>42004</v>
          </cell>
          <cell r="G23">
            <v>42185</v>
          </cell>
          <cell r="I23">
            <v>41820</v>
          </cell>
          <cell r="J23">
            <v>42185</v>
          </cell>
          <cell r="K23">
            <v>42004</v>
          </cell>
          <cell r="L23">
            <v>42185</v>
          </cell>
          <cell r="N23">
            <v>41820</v>
          </cell>
          <cell r="O23">
            <v>42185</v>
          </cell>
          <cell r="P23">
            <v>42004</v>
          </cell>
          <cell r="Q23">
            <v>42185</v>
          </cell>
          <cell r="S23">
            <v>41820</v>
          </cell>
          <cell r="T23">
            <v>42185</v>
          </cell>
          <cell r="U23">
            <v>42004</v>
          </cell>
          <cell r="V23">
            <v>42185</v>
          </cell>
          <cell r="X23">
            <v>41820</v>
          </cell>
          <cell r="Y23">
            <v>42185</v>
          </cell>
          <cell r="Z23">
            <v>42004</v>
          </cell>
          <cell r="AA23">
            <v>42185</v>
          </cell>
        </row>
        <row r="24">
          <cell r="D24">
            <v>569.4</v>
          </cell>
          <cell r="E24">
            <v>1002.8</v>
          </cell>
          <cell r="F24">
            <v>782.3</v>
          </cell>
          <cell r="G24">
            <v>1002.8</v>
          </cell>
          <cell r="J24">
            <v>6261.7160000000003</v>
          </cell>
          <cell r="K24">
            <v>5565.2430000000004</v>
          </cell>
          <cell r="L24">
            <v>6261.7160000000003</v>
          </cell>
          <cell r="N24">
            <v>4219.2</v>
          </cell>
          <cell r="O24">
            <v>5228.16</v>
          </cell>
          <cell r="P24">
            <v>4936.527</v>
          </cell>
          <cell r="Q24">
            <v>5228.16</v>
          </cell>
          <cell r="S24">
            <v>24145</v>
          </cell>
          <cell r="T24">
            <v>27781.8</v>
          </cell>
          <cell r="U24">
            <v>26536.799999999999</v>
          </cell>
          <cell r="V24">
            <v>27781.8</v>
          </cell>
          <cell r="X24">
            <v>2394.7999999999997</v>
          </cell>
          <cell r="Y24">
            <v>3057.1</v>
          </cell>
          <cell r="Z24">
            <v>2754.0000000000005</v>
          </cell>
          <cell r="AA24">
            <v>3057.1</v>
          </cell>
        </row>
        <row r="25">
          <cell r="D25">
            <v>9.1999999999999993</v>
          </cell>
          <cell r="E25">
            <v>7.5</v>
          </cell>
          <cell r="F25">
            <v>8.1999999999999993</v>
          </cell>
          <cell r="G25">
            <v>7.5</v>
          </cell>
          <cell r="J25">
            <v>23.068000000000001</v>
          </cell>
          <cell r="K25">
            <v>22.571000000000002</v>
          </cell>
          <cell r="L25">
            <v>23.068000000000001</v>
          </cell>
          <cell r="N25">
            <v>1.54</v>
          </cell>
          <cell r="O25">
            <v>2.778</v>
          </cell>
          <cell r="P25">
            <v>2.3050000000000002</v>
          </cell>
          <cell r="Q25">
            <v>2.778</v>
          </cell>
          <cell r="S25">
            <v>34.200000000000003</v>
          </cell>
          <cell r="T25">
            <v>52</v>
          </cell>
          <cell r="U25">
            <v>46.1</v>
          </cell>
          <cell r="V25">
            <v>52</v>
          </cell>
          <cell r="X25">
            <v>46.9</v>
          </cell>
          <cell r="Y25">
            <v>51.5</v>
          </cell>
          <cell r="Z25">
            <v>49.5</v>
          </cell>
          <cell r="AA25">
            <v>51.5</v>
          </cell>
        </row>
        <row r="27">
          <cell r="D27">
            <v>63.3</v>
          </cell>
          <cell r="E27">
            <v>128.4</v>
          </cell>
          <cell r="F27">
            <v>124.9</v>
          </cell>
          <cell r="G27">
            <v>128.4</v>
          </cell>
          <cell r="J27">
            <v>406.65800000000002</v>
          </cell>
          <cell r="K27">
            <v>305.19300000000004</v>
          </cell>
          <cell r="L27">
            <v>406.65800000000002</v>
          </cell>
          <cell r="N27">
            <v>194.011</v>
          </cell>
          <cell r="O27">
            <v>255.077</v>
          </cell>
          <cell r="P27">
            <v>227.60400000000001</v>
          </cell>
          <cell r="Q27">
            <v>255.077</v>
          </cell>
          <cell r="S27">
            <v>921.3</v>
          </cell>
          <cell r="T27">
            <v>1129.8</v>
          </cell>
          <cell r="U27">
            <v>1087.3</v>
          </cell>
          <cell r="V27">
            <v>1129.8</v>
          </cell>
          <cell r="X27">
            <v>194.1</v>
          </cell>
          <cell r="Y27">
            <v>327.29999999999995</v>
          </cell>
          <cell r="Z27">
            <v>218.7</v>
          </cell>
          <cell r="AA27">
            <v>327.29999999999995</v>
          </cell>
        </row>
        <row r="28">
          <cell r="D28">
            <v>54.099999999999994</v>
          </cell>
          <cell r="E28">
            <v>120.9</v>
          </cell>
          <cell r="F28">
            <v>116.7</v>
          </cell>
          <cell r="G28">
            <v>120.9</v>
          </cell>
          <cell r="I28">
            <v>264.09375</v>
          </cell>
          <cell r="J28">
            <v>383.59000000000003</v>
          </cell>
          <cell r="K28">
            <v>282.62200000000001</v>
          </cell>
          <cell r="L28">
            <v>383.59000000000003</v>
          </cell>
          <cell r="N28">
            <v>192.471</v>
          </cell>
          <cell r="O28">
            <v>252.29900000000001</v>
          </cell>
          <cell r="P28">
            <v>225.29900000000001</v>
          </cell>
          <cell r="Q28">
            <v>252.29900000000001</v>
          </cell>
          <cell r="S28">
            <v>887.09999999999991</v>
          </cell>
          <cell r="T28">
            <v>1077.8</v>
          </cell>
          <cell r="U28">
            <v>1041.2</v>
          </cell>
          <cell r="V28">
            <v>1077.8</v>
          </cell>
          <cell r="X28">
            <v>147.19999999999999</v>
          </cell>
          <cell r="Y28">
            <v>275.79999999999995</v>
          </cell>
          <cell r="Z28">
            <v>169.2</v>
          </cell>
          <cell r="AA28">
            <v>275.79999999999995</v>
          </cell>
        </row>
        <row r="30">
          <cell r="D30">
            <v>61.526180944755801</v>
          </cell>
          <cell r="E30">
            <v>124.80192153722979</v>
          </cell>
          <cell r="F30">
            <v>121.4</v>
          </cell>
          <cell r="G30">
            <v>124.80192153722979</v>
          </cell>
          <cell r="I30">
            <v>264.09375</v>
          </cell>
          <cell r="J30">
            <v>382.95600000000002</v>
          </cell>
          <cell r="K30">
            <v>281.24700000000001</v>
          </cell>
          <cell r="L30">
            <v>382.95600000000002</v>
          </cell>
          <cell r="N30">
            <v>178.88300000000001</v>
          </cell>
          <cell r="O30">
            <v>237.63800000000001</v>
          </cell>
          <cell r="P30">
            <v>207.785</v>
          </cell>
          <cell r="Q30">
            <v>237.63800000000001</v>
          </cell>
          <cell r="S30">
            <v>792.4</v>
          </cell>
          <cell r="T30">
            <v>1013.2</v>
          </cell>
          <cell r="U30">
            <v>980.5</v>
          </cell>
          <cell r="V30">
            <v>1013.2</v>
          </cell>
          <cell r="X30">
            <v>147.19999999999999</v>
          </cell>
          <cell r="Y30">
            <v>275.79999999999995</v>
          </cell>
          <cell r="Z30">
            <v>169.2</v>
          </cell>
          <cell r="AA30">
            <v>275.79999999999995</v>
          </cell>
        </row>
        <row r="31">
          <cell r="D31">
            <v>466.10743139966513</v>
          </cell>
          <cell r="E31">
            <v>832.01281024819866</v>
          </cell>
          <cell r="F31">
            <v>649.79999999999995</v>
          </cell>
          <cell r="G31">
            <v>832.01281024819866</v>
          </cell>
          <cell r="I31">
            <v>2347.5</v>
          </cell>
          <cell r="J31">
            <v>3191.3</v>
          </cell>
          <cell r="K31">
            <v>2702</v>
          </cell>
          <cell r="L31">
            <v>3191.3</v>
          </cell>
          <cell r="N31">
            <v>1631.6</v>
          </cell>
          <cell r="O31">
            <v>2162.5</v>
          </cell>
          <cell r="P31">
            <v>1829.3</v>
          </cell>
          <cell r="Q31">
            <v>2162.5</v>
          </cell>
          <cell r="S31">
            <v>5532</v>
          </cell>
          <cell r="T31">
            <v>5420.1</v>
          </cell>
          <cell r="U31">
            <v>5160.6000000000004</v>
          </cell>
          <cell r="V31">
            <v>5420.1</v>
          </cell>
          <cell r="X31">
            <v>1231.4000000000001</v>
          </cell>
          <cell r="Y31">
            <v>1813.1</v>
          </cell>
          <cell r="Z31">
            <v>1461</v>
          </cell>
          <cell r="AA31">
            <v>1813.1</v>
          </cell>
        </row>
        <row r="32">
          <cell r="D32">
            <v>0.13200000000000001</v>
          </cell>
          <cell r="E32">
            <v>0.15</v>
          </cell>
          <cell r="F32">
            <v>0.18682671591258851</v>
          </cell>
          <cell r="G32">
            <v>0.15</v>
          </cell>
          <cell r="I32">
            <v>0.1125</v>
          </cell>
          <cell r="J32">
            <v>0.12</v>
          </cell>
          <cell r="K32">
            <v>0.10408845299777943</v>
          </cell>
          <cell r="L32">
            <v>0.12</v>
          </cell>
          <cell r="N32">
            <v>0.10963655307673451</v>
          </cell>
          <cell r="O32">
            <v>0.10989040462427746</v>
          </cell>
          <cell r="P32">
            <v>0.11358716448914885</v>
          </cell>
          <cell r="Q32">
            <v>0.10989040462427746</v>
          </cell>
          <cell r="S32">
            <v>0.14323933477946493</v>
          </cell>
          <cell r="T32">
            <v>0.18693382040921755</v>
          </cell>
          <cell r="U32">
            <v>0.18999728713715458</v>
          </cell>
          <cell r="V32">
            <v>0.18693382040921755</v>
          </cell>
          <cell r="X32">
            <v>0.11953873639759621</v>
          </cell>
          <cell r="Y32">
            <v>0.15211516187744745</v>
          </cell>
          <cell r="Z32">
            <v>0.11581108829568788</v>
          </cell>
          <cell r="AA32">
            <v>0.15211516187744745</v>
          </cell>
        </row>
        <row r="34">
          <cell r="D34">
            <v>0.97197758206565255</v>
          </cell>
          <cell r="E34">
            <v>0.97197758206565255</v>
          </cell>
          <cell r="F34">
            <v>0.97197758206565255</v>
          </cell>
          <cell r="G34">
            <v>0.97197758206565255</v>
          </cell>
        </row>
        <row r="35">
          <cell r="D35">
            <v>0.85466034755134279</v>
          </cell>
          <cell r="E35">
            <v>0.94158878504672894</v>
          </cell>
          <cell r="F35">
            <v>0.93434747798238593</v>
          </cell>
          <cell r="G35">
            <v>0.94158878504672894</v>
          </cell>
          <cell r="J35">
            <v>0.94327420092559355</v>
          </cell>
          <cell r="K35">
            <v>0.926043520002097</v>
          </cell>
          <cell r="L35">
            <v>0.94327420092559355</v>
          </cell>
          <cell r="N35">
            <v>0.99206230574555054</v>
          </cell>
          <cell r="O35">
            <v>0.98910917095622108</v>
          </cell>
          <cell r="P35">
            <v>0.98987276146289171</v>
          </cell>
          <cell r="Q35">
            <v>0.98910917095622108</v>
          </cell>
        </row>
        <row r="37">
          <cell r="D37" t="str">
            <v>Adjustments for Excess / (Deficit) Capital:</v>
          </cell>
          <cell r="I37" t="str">
            <v>Adjustments for Excess / (Deficit) Capital:</v>
          </cell>
          <cell r="N37" t="str">
            <v>Adjustments for Excess / (Deficit) Capital:</v>
          </cell>
          <cell r="S37" t="str">
            <v>Adjustments for Excess / (Deficit) Capital:</v>
          </cell>
          <cell r="X37" t="str">
            <v>Adjustments for Excess / (Deficit) Capital:</v>
          </cell>
        </row>
        <row r="38">
          <cell r="D38">
            <v>41820</v>
          </cell>
          <cell r="E38">
            <v>42185</v>
          </cell>
          <cell r="F38">
            <v>42004</v>
          </cell>
          <cell r="G38">
            <v>42185</v>
          </cell>
          <cell r="I38">
            <v>41820</v>
          </cell>
          <cell r="J38">
            <v>42185</v>
          </cell>
          <cell r="K38">
            <v>42004</v>
          </cell>
          <cell r="L38">
            <v>42185</v>
          </cell>
          <cell r="N38">
            <v>41820</v>
          </cell>
          <cell r="O38">
            <v>42185</v>
          </cell>
          <cell r="P38">
            <v>42004</v>
          </cell>
          <cell r="Q38">
            <v>42185</v>
          </cell>
          <cell r="S38">
            <v>41820</v>
          </cell>
          <cell r="T38">
            <v>42185</v>
          </cell>
          <cell r="U38">
            <v>42004</v>
          </cell>
          <cell r="V38">
            <v>42185</v>
          </cell>
          <cell r="X38">
            <v>41820</v>
          </cell>
          <cell r="Y38">
            <v>42185</v>
          </cell>
          <cell r="Z38">
            <v>42004</v>
          </cell>
          <cell r="AA38">
            <v>42185</v>
          </cell>
        </row>
        <row r="39">
          <cell r="D39">
            <v>0.13</v>
          </cell>
          <cell r="E39">
            <v>0.13</v>
          </cell>
          <cell r="F39">
            <v>0.13</v>
          </cell>
          <cell r="G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N39">
            <v>0.13</v>
          </cell>
          <cell r="O39">
            <v>0.13</v>
          </cell>
          <cell r="P39">
            <v>0.13</v>
          </cell>
          <cell r="Q39">
            <v>0.13</v>
          </cell>
          <cell r="S39">
            <v>0.13</v>
          </cell>
          <cell r="T39">
            <v>0.13</v>
          </cell>
          <cell r="U39">
            <v>0.13</v>
          </cell>
          <cell r="V39">
            <v>0.13</v>
          </cell>
          <cell r="X39">
            <v>0.13</v>
          </cell>
          <cell r="Y39">
            <v>0.13</v>
          </cell>
          <cell r="Z39">
            <v>0.13</v>
          </cell>
          <cell r="AA39">
            <v>0.13</v>
          </cell>
        </row>
        <row r="40">
          <cell r="D40">
            <v>2.0000000000000018E-3</v>
          </cell>
          <cell r="E40">
            <v>1.999999999999999E-2</v>
          </cell>
          <cell r="F40">
            <v>5.6826715912588505E-2</v>
          </cell>
          <cell r="G40">
            <v>1.999999999999999E-2</v>
          </cell>
          <cell r="I40">
            <v>-1.7500000000000002E-2</v>
          </cell>
          <cell r="J40">
            <v>-1.0000000000000009E-2</v>
          </cell>
          <cell r="K40">
            <v>-2.5911547002220578E-2</v>
          </cell>
          <cell r="L40">
            <v>-1.0000000000000009E-2</v>
          </cell>
          <cell r="N40">
            <v>-2.0363446923265499E-2</v>
          </cell>
          <cell r="O40">
            <v>-2.0109595375722544E-2</v>
          </cell>
          <cell r="P40">
            <v>-1.6412835510851154E-2</v>
          </cell>
          <cell r="Q40">
            <v>-2.0109595375722544E-2</v>
          </cell>
          <cell r="S40">
            <v>1.3239334779464929E-2</v>
          </cell>
          <cell r="T40">
            <v>5.6933820409217545E-2</v>
          </cell>
          <cell r="U40">
            <v>5.9997287137154576E-2</v>
          </cell>
          <cell r="V40">
            <v>5.6933820409217545E-2</v>
          </cell>
          <cell r="X40">
            <v>-1.0461263602403792E-2</v>
          </cell>
          <cell r="Y40">
            <v>2.2115161877447442E-2</v>
          </cell>
          <cell r="Z40">
            <v>-1.4188911704312121E-2</v>
          </cell>
          <cell r="AA40">
            <v>2.2115161877447442E-2</v>
          </cell>
        </row>
        <row r="41">
          <cell r="D41">
            <v>0.93221486279933108</v>
          </cell>
          <cell r="E41">
            <v>16.640256204963965</v>
          </cell>
          <cell r="F41">
            <v>36.926000000000009</v>
          </cell>
          <cell r="G41">
            <v>16.640256204963965</v>
          </cell>
          <cell r="I41">
            <v>-41.081250000000004</v>
          </cell>
          <cell r="J41">
            <v>-31.913000000000029</v>
          </cell>
          <cell r="K41">
            <v>-70.013000000000005</v>
          </cell>
          <cell r="L41">
            <v>-31.913000000000029</v>
          </cell>
          <cell r="N41">
            <v>-33.224999999999987</v>
          </cell>
          <cell r="O41">
            <v>-43.487000000000002</v>
          </cell>
          <cell r="P41">
            <v>-30.024000000000015</v>
          </cell>
          <cell r="Q41">
            <v>-43.487000000000002</v>
          </cell>
          <cell r="S41">
            <v>73.239999999999981</v>
          </cell>
          <cell r="T41">
            <v>308.58700000000005</v>
          </cell>
          <cell r="U41">
            <v>309.6219999999999</v>
          </cell>
          <cell r="V41">
            <v>308.58700000000005</v>
          </cell>
          <cell r="X41">
            <v>-12.88200000000003</v>
          </cell>
          <cell r="Y41">
            <v>40.096999999999959</v>
          </cell>
          <cell r="Z41">
            <v>-20.730000000000008</v>
          </cell>
          <cell r="AA41">
            <v>40.096999999999959</v>
          </cell>
        </row>
        <row r="43">
          <cell r="G43">
            <v>1.9400000000000001E-2</v>
          </cell>
          <cell r="L43">
            <v>1.9400000000000001E-2</v>
          </cell>
          <cell r="Q43">
            <v>1.9400000000000001E-2</v>
          </cell>
          <cell r="V43">
            <v>1.9400000000000001E-2</v>
          </cell>
          <cell r="AA43">
            <v>1.9400000000000001E-2</v>
          </cell>
        </row>
        <row r="44">
          <cell r="D44">
            <v>8.3866742338559845</v>
          </cell>
          <cell r="E44">
            <v>12.639725592634107</v>
          </cell>
          <cell r="F44">
            <v>19.937338306513411</v>
          </cell>
          <cell r="G44">
            <v>24.190389665291534</v>
          </cell>
          <cell r="I44">
            <v>16.56184682421539</v>
          </cell>
          <cell r="J44">
            <v>31.488031442594842</v>
          </cell>
          <cell r="K44">
            <v>44.066544300860755</v>
          </cell>
          <cell r="L44">
            <v>58.992728919240207</v>
          </cell>
          <cell r="N44">
            <v>24.710870450497641</v>
          </cell>
          <cell r="O44">
            <v>38.270759196768033</v>
          </cell>
          <cell r="P44">
            <v>56.563356822138211</v>
          </cell>
          <cell r="Q44">
            <v>70.123245568408606</v>
          </cell>
          <cell r="S44">
            <v>18.77462804</v>
          </cell>
          <cell r="T44">
            <v>33.230461515999998</v>
          </cell>
          <cell r="U44">
            <v>50.610766562000009</v>
          </cell>
          <cell r="V44">
            <v>65.066600038000004</v>
          </cell>
          <cell r="X44">
            <v>10.527919173134324</v>
          </cell>
          <cell r="Y44">
            <v>21.404689156275325</v>
          </cell>
          <cell r="Z44">
            <v>35.263235960264922</v>
          </cell>
          <cell r="AA44">
            <v>46.140005943405924</v>
          </cell>
        </row>
        <row r="45">
          <cell r="D45">
            <v>53.16778513720066</v>
          </cell>
          <cell r="E45">
            <v>104.25974379503604</v>
          </cell>
          <cell r="F45">
            <v>79.774000000000001</v>
          </cell>
          <cell r="G45">
            <v>104.25974379503604</v>
          </cell>
          <cell r="I45">
            <v>305.17500000000001</v>
          </cell>
          <cell r="J45">
            <v>415.50300000000004</v>
          </cell>
          <cell r="K45">
            <v>352.63499999999999</v>
          </cell>
          <cell r="L45">
            <v>415.50300000000004</v>
          </cell>
          <cell r="N45">
            <v>225.696</v>
          </cell>
          <cell r="O45">
            <v>295.786</v>
          </cell>
          <cell r="P45">
            <v>255.32300000000004</v>
          </cell>
          <cell r="Q45">
            <v>295.786</v>
          </cell>
          <cell r="S45">
            <v>813.8599999999999</v>
          </cell>
          <cell r="T45">
            <v>769.21299999999997</v>
          </cell>
          <cell r="U45">
            <v>731.5780000000002</v>
          </cell>
          <cell r="V45">
            <v>769.21299999999997</v>
          </cell>
          <cell r="X45">
            <v>160.08200000000002</v>
          </cell>
          <cell r="Y45">
            <v>235.703</v>
          </cell>
          <cell r="Z45">
            <v>189.93</v>
          </cell>
          <cell r="AA45">
            <v>235.703</v>
          </cell>
        </row>
        <row r="46">
          <cell r="G46">
            <v>0.30732096005526549</v>
          </cell>
          <cell r="L46">
            <v>0.1637145269294753</v>
          </cell>
          <cell r="Q46">
            <v>0.26893831644585475</v>
          </cell>
          <cell r="V46">
            <v>8.220290540992109E-2</v>
          </cell>
          <cell r="AA46">
            <v>0.23315692076963968</v>
          </cell>
        </row>
        <row r="48">
          <cell r="D48" t="str">
            <v>Equity Research Projections:</v>
          </cell>
          <cell r="I48" t="str">
            <v>Equity Research Projections:</v>
          </cell>
          <cell r="N48" t="str">
            <v>Equity Research Projections:</v>
          </cell>
          <cell r="S48" t="str">
            <v>Equity Research Projections:</v>
          </cell>
          <cell r="X48" t="str">
            <v>Equity Research Projections:</v>
          </cell>
        </row>
        <row r="49">
          <cell r="D49">
            <v>42369</v>
          </cell>
          <cell r="E49">
            <v>42735</v>
          </cell>
          <cell r="F49">
            <v>43100</v>
          </cell>
          <cell r="I49">
            <v>42369</v>
          </cell>
          <cell r="J49">
            <v>42735</v>
          </cell>
          <cell r="K49">
            <v>43100</v>
          </cell>
          <cell r="N49">
            <v>42369</v>
          </cell>
          <cell r="O49">
            <v>42735</v>
          </cell>
          <cell r="P49">
            <v>43100</v>
          </cell>
          <cell r="S49">
            <v>42369</v>
          </cell>
          <cell r="T49">
            <v>42735</v>
          </cell>
          <cell r="U49">
            <v>43100</v>
          </cell>
          <cell r="X49">
            <v>42369</v>
          </cell>
          <cell r="Y49">
            <v>42735</v>
          </cell>
          <cell r="Z49">
            <v>43100</v>
          </cell>
        </row>
        <row r="50">
          <cell r="G50" t="str">
            <v>Consensus</v>
          </cell>
          <cell r="L50" t="str">
            <v>Investec</v>
          </cell>
          <cell r="Q50" t="str">
            <v>Investec</v>
          </cell>
          <cell r="V50" t="str">
            <v>Barclays</v>
          </cell>
          <cell r="AA50" t="str">
            <v>Internal</v>
          </cell>
        </row>
        <row r="51">
          <cell r="G51">
            <v>42249</v>
          </cell>
          <cell r="L51">
            <v>42299</v>
          </cell>
          <cell r="Q51">
            <v>42269</v>
          </cell>
          <cell r="V51">
            <v>42293</v>
          </cell>
          <cell r="AA51">
            <v>42265</v>
          </cell>
        </row>
        <row r="52">
          <cell r="D52">
            <v>124.9</v>
          </cell>
          <cell r="E52">
            <v>141.55732</v>
          </cell>
          <cell r="F52">
            <v>162.69012000000001</v>
          </cell>
          <cell r="I52">
            <v>305.19300000000004</v>
          </cell>
          <cell r="J52">
            <v>381.09300000000007</v>
          </cell>
          <cell r="K52">
            <v>475.99300000000005</v>
          </cell>
          <cell r="N52">
            <v>227.60400000000001</v>
          </cell>
          <cell r="O52">
            <v>295.30400000000003</v>
          </cell>
          <cell r="P52">
            <v>367.904</v>
          </cell>
          <cell r="S52">
            <v>1087.3</v>
          </cell>
          <cell r="T52">
            <v>1171.54</v>
          </cell>
          <cell r="U52">
            <v>1281.202</v>
          </cell>
          <cell r="X52">
            <v>218.7</v>
          </cell>
          <cell r="Y52">
            <v>364.94588999198459</v>
          </cell>
          <cell r="Z52">
            <v>461.43170432014324</v>
          </cell>
        </row>
        <row r="53">
          <cell r="D53">
            <v>32.79</v>
          </cell>
          <cell r="E53">
            <v>41.6</v>
          </cell>
          <cell r="F53">
            <v>48.25</v>
          </cell>
          <cell r="I53">
            <v>75.900000000000006</v>
          </cell>
          <cell r="J53">
            <v>94.9</v>
          </cell>
          <cell r="K53">
            <v>122</v>
          </cell>
          <cell r="N53">
            <v>82</v>
          </cell>
          <cell r="O53">
            <v>94.6</v>
          </cell>
          <cell r="P53">
            <v>110.6</v>
          </cell>
          <cell r="S53">
            <v>104</v>
          </cell>
          <cell r="T53">
            <v>147</v>
          </cell>
          <cell r="U53">
            <v>209</v>
          </cell>
          <cell r="X53">
            <v>54.245889991984527</v>
          </cell>
          <cell r="Y53">
            <v>66.073127031287413</v>
          </cell>
          <cell r="Z53">
            <v>83.106325681586455</v>
          </cell>
        </row>
        <row r="54">
          <cell r="D54">
            <v>-16.132679999999997</v>
          </cell>
          <cell r="E54">
            <v>-20.467199999999998</v>
          </cell>
          <cell r="F54">
            <v>-23.738999999999997</v>
          </cell>
          <cell r="I54">
            <v>0</v>
          </cell>
          <cell r="J54">
            <v>0</v>
          </cell>
          <cell r="K54">
            <v>-5.8</v>
          </cell>
          <cell r="N54">
            <v>-14.3</v>
          </cell>
          <cell r="O54">
            <v>-22</v>
          </cell>
          <cell r="P54">
            <v>-26.2</v>
          </cell>
          <cell r="S54">
            <v>-19.760000000000002</v>
          </cell>
          <cell r="T54">
            <v>-37.338000000000001</v>
          </cell>
          <cell r="U54">
            <v>-62.699999999999996</v>
          </cell>
          <cell r="X54">
            <v>0</v>
          </cell>
          <cell r="Y54">
            <v>-6.6073127031287413</v>
          </cell>
          <cell r="Z54">
            <v>-24.931897704475936</v>
          </cell>
        </row>
        <row r="55">
          <cell r="D55">
            <v>141.55732</v>
          </cell>
          <cell r="E55">
            <v>162.69012000000001</v>
          </cell>
          <cell r="F55">
            <v>187.20112</v>
          </cell>
          <cell r="I55">
            <v>381.09300000000007</v>
          </cell>
          <cell r="J55">
            <v>475.99300000000005</v>
          </cell>
          <cell r="K55">
            <v>592.1930000000001</v>
          </cell>
          <cell r="N55">
            <v>295.30400000000003</v>
          </cell>
          <cell r="O55">
            <v>367.904</v>
          </cell>
          <cell r="P55">
            <v>452.30400000000003</v>
          </cell>
          <cell r="S55">
            <v>1171.54</v>
          </cell>
          <cell r="T55">
            <v>1281.202</v>
          </cell>
          <cell r="U55">
            <v>1427.502</v>
          </cell>
          <cell r="X55">
            <v>364.94588999198459</v>
          </cell>
          <cell r="Y55">
            <v>461.43170432014324</v>
          </cell>
          <cell r="Z55">
            <v>556.62613229725366</v>
          </cell>
        </row>
        <row r="57">
          <cell r="D57">
            <v>133.28878495327103</v>
          </cell>
          <cell r="E57">
            <v>153.18719242990653</v>
          </cell>
          <cell r="F57">
            <v>176.26647514018691</v>
          </cell>
          <cell r="I57">
            <v>359.4751950533373</v>
          </cell>
          <cell r="J57">
            <v>448.9919167211761</v>
          </cell>
          <cell r="K57">
            <v>558.6003788687301</v>
          </cell>
          <cell r="N57">
            <v>292.08789462005592</v>
          </cell>
          <cell r="O57">
            <v>363.89722043147754</v>
          </cell>
          <cell r="P57">
            <v>447.37803446018268</v>
          </cell>
          <cell r="S57">
            <v>1146</v>
          </cell>
          <cell r="T57">
            <v>1261</v>
          </cell>
          <cell r="U57">
            <v>1424</v>
          </cell>
          <cell r="X57">
            <v>311.90673576610959</v>
          </cell>
          <cell r="Y57">
            <v>404.20570565940534</v>
          </cell>
          <cell r="Z57">
            <v>494.33939043436277</v>
          </cell>
        </row>
        <row r="58">
          <cell r="D58">
            <v>0.26233176825215776</v>
          </cell>
          <cell r="E58">
            <v>0.29042574794575315</v>
          </cell>
          <cell r="F58">
            <v>0.29290916902440911</v>
          </cell>
          <cell r="I58">
            <v>0.2364128066116071</v>
          </cell>
          <cell r="J58">
            <v>0.23476527026981459</v>
          </cell>
          <cell r="K58">
            <v>0.24216143877633312</v>
          </cell>
          <cell r="N58">
            <v>0.31697749151615778</v>
          </cell>
          <cell r="O58">
            <v>0.2884211785585053</v>
          </cell>
          <cell r="P58">
            <v>0.27265715139991492</v>
          </cell>
          <cell r="S58">
            <v>9.5098756400877837E-2</v>
          </cell>
          <cell r="T58">
            <v>0.12214374740340674</v>
          </cell>
          <cell r="U58">
            <v>0.15567970204841713</v>
          </cell>
          <cell r="X58">
            <v>0.2255045957966226</v>
          </cell>
          <cell r="Y58">
            <v>0.18453282811218938</v>
          </cell>
          <cell r="Z58">
            <v>0.18497975458966581</v>
          </cell>
        </row>
        <row r="60">
          <cell r="D60">
            <v>32.53174322369896</v>
          </cell>
          <cell r="E60">
            <v>41.341743223698963</v>
          </cell>
          <cell r="F60">
            <v>47.991743223698961</v>
          </cell>
          <cell r="I60">
            <v>76.395289760000011</v>
          </cell>
          <cell r="J60">
            <v>95.395289760000011</v>
          </cell>
          <cell r="K60">
            <v>122.49528976000001</v>
          </cell>
          <cell r="N60">
            <v>82.674918239999997</v>
          </cell>
          <cell r="O60">
            <v>95.274918239999991</v>
          </cell>
          <cell r="P60">
            <v>111.27491823999999</v>
          </cell>
          <cell r="S60">
            <v>99.210729759999992</v>
          </cell>
          <cell r="T60">
            <v>142.21072975999999</v>
          </cell>
          <cell r="U60">
            <v>204.21072975999999</v>
          </cell>
          <cell r="X60">
            <v>53.623584551984528</v>
          </cell>
          <cell r="Y60">
            <v>65.450821591287408</v>
          </cell>
          <cell r="Z60">
            <v>82.48402024158645</v>
          </cell>
        </row>
        <row r="61">
          <cell r="D61">
            <v>116.64852874830707</v>
          </cell>
          <cell r="E61">
            <v>136.54693622494256</v>
          </cell>
          <cell r="F61">
            <v>159.62621893522294</v>
          </cell>
          <cell r="I61">
            <v>391.38819505333731</v>
          </cell>
          <cell r="J61">
            <v>480.90491672117611</v>
          </cell>
          <cell r="K61">
            <v>590.51337886873011</v>
          </cell>
          <cell r="N61">
            <v>335.57489462005594</v>
          </cell>
          <cell r="O61">
            <v>407.38422043147756</v>
          </cell>
          <cell r="P61">
            <v>490.8650344601827</v>
          </cell>
          <cell r="S61">
            <v>837.41300000000001</v>
          </cell>
          <cell r="T61">
            <v>952.41300000000001</v>
          </cell>
          <cell r="U61">
            <v>1115.413</v>
          </cell>
          <cell r="X61">
            <v>271.80973576610961</v>
          </cell>
          <cell r="Y61">
            <v>364.10870565940536</v>
          </cell>
          <cell r="Z61">
            <v>454.24239043436279</v>
          </cell>
        </row>
        <row r="62">
          <cell r="D62">
            <v>0.33124248456636723</v>
          </cell>
          <cell r="E62">
            <v>0.32655990286450637</v>
          </cell>
          <cell r="F62">
            <v>0.32407895440588347</v>
          </cell>
          <cell r="I62">
            <v>0.20535727990180039</v>
          </cell>
          <cell r="J62">
            <v>0.21872301517075277</v>
          </cell>
          <cell r="K62">
            <v>0.22866006724769622</v>
          </cell>
          <cell r="N62">
            <v>0.27982810225837584</v>
          </cell>
          <cell r="O62">
            <v>0.25647418898250274</v>
          </cell>
          <cell r="P62">
            <v>0.24775955590059709</v>
          </cell>
          <cell r="S62">
            <v>0.12646437074527511</v>
          </cell>
          <cell r="T62">
            <v>0.1589101172516211</v>
          </cell>
          <cell r="U62">
            <v>0.19751248872970936</v>
          </cell>
          <cell r="X62">
            <v>0.23226757585856594</v>
          </cell>
          <cell r="Y62">
            <v>0.20584659078157477</v>
          </cell>
          <cell r="Z62">
            <v>0.20158589787514694</v>
          </cell>
        </row>
        <row r="64">
          <cell r="D64" t="str">
            <v>Diluted Shares Calculations:</v>
          </cell>
          <cell r="I64" t="str">
            <v>Diluted Shares Calculations:</v>
          </cell>
          <cell r="N64" t="str">
            <v>Diluted Shares Calculations:</v>
          </cell>
          <cell r="S64" t="str">
            <v>Diluted Shares Calculations:</v>
          </cell>
          <cell r="X64" t="str">
            <v>Diluted Shares Calculations:</v>
          </cell>
        </row>
        <row r="65">
          <cell r="G65">
            <v>28.745000000000001</v>
          </cell>
          <cell r="L65">
            <v>2.7829999999999999</v>
          </cell>
          <cell r="Q65">
            <v>3.93</v>
          </cell>
          <cell r="V65">
            <v>3.95</v>
          </cell>
          <cell r="AA65">
            <v>3.274</v>
          </cell>
        </row>
        <row r="66">
          <cell r="G66">
            <v>18.191894000000001</v>
          </cell>
          <cell r="L66">
            <v>339.23741999999999</v>
          </cell>
          <cell r="Q66">
            <v>243.07996499999999</v>
          </cell>
          <cell r="V66">
            <v>440.9</v>
          </cell>
          <cell r="AA66">
            <v>250</v>
          </cell>
        </row>
        <row r="68">
          <cell r="E68" t="str">
            <v>Total</v>
          </cell>
          <cell r="F68" t="str">
            <v>Strike</v>
          </cell>
          <cell r="G68" t="str">
            <v>Dilution</v>
          </cell>
          <cell r="J68" t="str">
            <v>Total</v>
          </cell>
          <cell r="K68" t="str">
            <v>Strike</v>
          </cell>
          <cell r="L68" t="str">
            <v>Dilution</v>
          </cell>
          <cell r="O68" t="str">
            <v>Total</v>
          </cell>
          <cell r="P68" t="str">
            <v>Strike</v>
          </cell>
          <cell r="Q68" t="str">
            <v>Dilution</v>
          </cell>
          <cell r="T68" t="str">
            <v>Total</v>
          </cell>
          <cell r="U68" t="str">
            <v>Strike</v>
          </cell>
          <cell r="V68" t="str">
            <v>Dilution</v>
          </cell>
          <cell r="Y68" t="str">
            <v>Total</v>
          </cell>
          <cell r="Z68" t="str">
            <v>Strike</v>
          </cell>
          <cell r="AA68" t="str">
            <v>Dilution</v>
          </cell>
        </row>
        <row r="69">
          <cell r="E69">
            <v>0.46041900000000002</v>
          </cell>
          <cell r="F69">
            <v>7.2</v>
          </cell>
          <cell r="G69">
            <v>0.34509401130631412</v>
          </cell>
          <cell r="J69">
            <v>3.66811</v>
          </cell>
          <cell r="K69">
            <v>0.89</v>
          </cell>
          <cell r="L69">
            <v>2.4950529033417173</v>
          </cell>
          <cell r="O69">
            <v>2.673508</v>
          </cell>
          <cell r="P69">
            <v>0</v>
          </cell>
          <cell r="Q69">
            <v>2.673508</v>
          </cell>
          <cell r="T69">
            <v>6.527444</v>
          </cell>
          <cell r="U69">
            <v>2.15</v>
          </cell>
          <cell r="V69">
            <v>2.974531443037975</v>
          </cell>
          <cell r="AA69">
            <v>0</v>
          </cell>
        </row>
        <row r="70">
          <cell r="G70">
            <v>0</v>
          </cell>
          <cell r="J70">
            <v>1.8340540000000001</v>
          </cell>
          <cell r="K70">
            <v>1.23</v>
          </cell>
          <cell r="L70">
            <v>1.0234588077614086</v>
          </cell>
          <cell r="O70">
            <v>0.52782099999999998</v>
          </cell>
          <cell r="P70">
            <v>1.34</v>
          </cell>
          <cell r="Q70">
            <v>0.34785149872773535</v>
          </cell>
          <cell r="V70">
            <v>0</v>
          </cell>
          <cell r="AA70">
            <v>0</v>
          </cell>
        </row>
        <row r="71">
          <cell r="G71">
            <v>0</v>
          </cell>
          <cell r="L71">
            <v>0</v>
          </cell>
          <cell r="Q71">
            <v>0</v>
          </cell>
          <cell r="V71">
            <v>0</v>
          </cell>
          <cell r="AA71">
            <v>0</v>
          </cell>
        </row>
        <row r="73">
          <cell r="D73" t="str">
            <v>£ Amount</v>
          </cell>
          <cell r="E73" t="str">
            <v>Par Value</v>
          </cell>
          <cell r="F73" t="str">
            <v>Conv. Price</v>
          </cell>
          <cell r="G73" t="str">
            <v>Dilution</v>
          </cell>
          <cell r="I73" t="str">
            <v>£ Amount</v>
          </cell>
          <cell r="J73" t="str">
            <v>Par Value</v>
          </cell>
          <cell r="K73" t="str">
            <v>Conv. Price</v>
          </cell>
          <cell r="L73" t="str">
            <v>Dilution</v>
          </cell>
          <cell r="N73" t="str">
            <v>£ Amount</v>
          </cell>
          <cell r="O73" t="str">
            <v>Par Value</v>
          </cell>
          <cell r="P73" t="str">
            <v>Conv. Price</v>
          </cell>
          <cell r="Q73" t="str">
            <v>Dilution</v>
          </cell>
          <cell r="S73" t="str">
            <v>£ Amount</v>
          </cell>
          <cell r="T73" t="str">
            <v>Par Value</v>
          </cell>
          <cell r="U73" t="str">
            <v>Conv. Price</v>
          </cell>
          <cell r="V73" t="str">
            <v>Dilution</v>
          </cell>
          <cell r="X73" t="str">
            <v>£ Amount</v>
          </cell>
          <cell r="Y73" t="str">
            <v>Par Value</v>
          </cell>
          <cell r="Z73" t="str">
            <v>Conv. Price</v>
          </cell>
          <cell r="AA73" t="str">
            <v>Dilution</v>
          </cell>
        </row>
        <row r="74">
          <cell r="G74">
            <v>0</v>
          </cell>
          <cell r="L74">
            <v>0</v>
          </cell>
          <cell r="Q74">
            <v>0</v>
          </cell>
          <cell r="V74">
            <v>0</v>
          </cell>
          <cell r="AA74">
            <v>0</v>
          </cell>
        </row>
        <row r="75">
          <cell r="G75">
            <v>0</v>
          </cell>
          <cell r="L75">
            <v>0</v>
          </cell>
          <cell r="Q75">
            <v>0</v>
          </cell>
          <cell r="V75">
            <v>0</v>
          </cell>
          <cell r="AA75">
            <v>0</v>
          </cell>
        </row>
        <row r="77">
          <cell r="F77" t="str">
            <v># RSUs</v>
          </cell>
          <cell r="G77" t="str">
            <v>Dilution</v>
          </cell>
          <cell r="K77" t="str">
            <v># RSUs</v>
          </cell>
          <cell r="L77" t="str">
            <v>Dilution</v>
          </cell>
          <cell r="P77" t="str">
            <v># RSUs</v>
          </cell>
          <cell r="Q77" t="str">
            <v>Dilution</v>
          </cell>
          <cell r="U77" t="str">
            <v># RSUs</v>
          </cell>
          <cell r="V77" t="str">
            <v>Dilution</v>
          </cell>
          <cell r="Z77" t="str">
            <v># RSUs</v>
          </cell>
          <cell r="AA77" t="str">
            <v>Dilution</v>
          </cell>
        </row>
        <row r="78">
          <cell r="G78">
            <v>0</v>
          </cell>
          <cell r="K78">
            <v>1.5</v>
          </cell>
          <cell r="L78">
            <v>1.5</v>
          </cell>
          <cell r="Q78">
            <v>0</v>
          </cell>
          <cell r="V78">
            <v>0</v>
          </cell>
          <cell r="AA78">
            <v>0</v>
          </cell>
        </row>
        <row r="80">
          <cell r="G80">
            <v>18.536988011306317</v>
          </cell>
          <cell r="L80">
            <v>344.25593171110313</v>
          </cell>
          <cell r="Q80">
            <v>246.10132449872773</v>
          </cell>
          <cell r="V80">
            <v>443.87453144303794</v>
          </cell>
          <cell r="AA80">
            <v>250</v>
          </cell>
        </row>
        <row r="82">
          <cell r="D82" t="str">
            <v>Valuation Metrics:</v>
          </cell>
          <cell r="I82" t="str">
            <v>Valuation Metrics:</v>
          </cell>
          <cell r="N82" t="str">
            <v>Valuation Metrics:</v>
          </cell>
          <cell r="S82" t="str">
            <v>Valuation Metrics:</v>
          </cell>
          <cell r="X82" t="str">
            <v>Valuation Metrics:</v>
          </cell>
        </row>
        <row r="84">
          <cell r="G84">
            <v>532.84572038500005</v>
          </cell>
          <cell r="L84">
            <v>958.06425795199993</v>
          </cell>
          <cell r="Q84">
            <v>967.17820528000004</v>
          </cell>
          <cell r="V84">
            <v>1753.3043992</v>
          </cell>
          <cell r="AA84">
            <v>818.5</v>
          </cell>
        </row>
        <row r="85">
          <cell r="G85">
            <v>516.20546418003607</v>
          </cell>
          <cell r="L85">
            <v>989.97725795199995</v>
          </cell>
          <cell r="Q85">
            <v>1010.66520528</v>
          </cell>
          <cell r="V85">
            <v>1444.7173992</v>
          </cell>
          <cell r="AA85">
            <v>778.40300000000002</v>
          </cell>
        </row>
        <row r="86">
          <cell r="G86">
            <v>0.52900000000000003</v>
          </cell>
        </row>
        <row r="87">
          <cell r="G87">
            <v>0.11899999999999999</v>
          </cell>
          <cell r="L87">
            <v>0.179009</v>
          </cell>
          <cell r="Q87">
            <v>0.55744099999999996</v>
          </cell>
        </row>
        <row r="89">
          <cell r="D89" t="str">
            <v>Valuation Multiples:</v>
          </cell>
          <cell r="I89" t="str">
            <v>Valuation Multiples:</v>
          </cell>
          <cell r="N89" t="str">
            <v>Valuation Multiples:</v>
          </cell>
          <cell r="S89" t="str">
            <v>Valuation Multiples:</v>
          </cell>
          <cell r="X89" t="str">
            <v>Valuation Multiples:</v>
          </cell>
        </row>
        <row r="90">
          <cell r="D90" t="str">
            <v>LTM</v>
          </cell>
          <cell r="E90">
            <v>42369</v>
          </cell>
          <cell r="F90">
            <v>42735</v>
          </cell>
          <cell r="G90">
            <v>43100</v>
          </cell>
          <cell r="I90" t="str">
            <v>LTM</v>
          </cell>
          <cell r="J90">
            <v>42369</v>
          </cell>
          <cell r="K90">
            <v>42735</v>
          </cell>
          <cell r="L90">
            <v>43100</v>
          </cell>
          <cell r="N90" t="str">
            <v>LTM</v>
          </cell>
          <cell r="O90">
            <v>42369</v>
          </cell>
          <cell r="P90">
            <v>42735</v>
          </cell>
          <cell r="Q90">
            <v>43100</v>
          </cell>
          <cell r="S90" t="str">
            <v>LTM</v>
          </cell>
          <cell r="T90">
            <v>42369</v>
          </cell>
          <cell r="U90">
            <v>42735</v>
          </cell>
          <cell r="V90">
            <v>43100</v>
          </cell>
          <cell r="X90" t="str">
            <v>LTM</v>
          </cell>
          <cell r="Y90">
            <v>42369</v>
          </cell>
          <cell r="Z90">
            <v>42735</v>
          </cell>
          <cell r="AA90">
            <v>43100</v>
          </cell>
        </row>
        <row r="91">
          <cell r="D91">
            <v>4.9511484048420744</v>
          </cell>
          <cell r="E91">
            <v>4.4253062573455546</v>
          </cell>
          <cell r="F91">
            <v>3.7804250937542649</v>
          </cell>
          <cell r="G91">
            <v>3.2338388243695397</v>
          </cell>
          <cell r="I91">
            <v>2.3825995430887379</v>
          </cell>
          <cell r="J91">
            <v>2.5293998911160021</v>
          </cell>
          <cell r="K91">
            <v>2.058571712474254</v>
          </cell>
          <cell r="L91">
            <v>1.676468803888133</v>
          </cell>
          <cell r="N91">
            <v>3.4168797890366682</v>
          </cell>
          <cell r="O91">
            <v>3.011742598993568</v>
          </cell>
          <cell r="P91">
            <v>2.4808648803568349</v>
          </cell>
          <cell r="Q91">
            <v>2.0589472346333557</v>
          </cell>
          <cell r="S91">
            <v>1.8781760048257117</v>
          </cell>
          <cell r="T91">
            <v>1.7252149168928594</v>
          </cell>
          <cell r="U91">
            <v>1.5169022254001152</v>
          </cell>
          <cell r="V91">
            <v>1.2952309137512295</v>
          </cell>
          <cell r="X91">
            <v>3.302473876021943</v>
          </cell>
          <cell r="Y91">
            <v>2.8637789511329732</v>
          </cell>
          <cell r="Z91">
            <v>2.1378313341624242</v>
          </cell>
          <cell r="AA91">
            <v>1.713629146887113</v>
          </cell>
        </row>
        <row r="92">
          <cell r="D92">
            <v>21.339278586350748</v>
          </cell>
          <cell r="E92">
            <v>15.867746792123546</v>
          </cell>
          <cell r="F92">
            <v>12.486301348902087</v>
          </cell>
          <cell r="G92">
            <v>10.756130732194928</v>
          </cell>
          <cell r="I92">
            <v>16.781343668763956</v>
          </cell>
          <cell r="J92">
            <v>12.958616441695133</v>
          </cell>
          <cell r="K92">
            <v>10.377632485237285</v>
          </cell>
          <cell r="L92">
            <v>8.0817577548624264</v>
          </cell>
          <cell r="N92">
            <v>14.41269862921629</v>
          </cell>
          <cell r="O92">
            <v>12.224568548663134</v>
          </cell>
          <cell r="P92">
            <v>10.607883207352728</v>
          </cell>
          <cell r="Q92">
            <v>9.0825967007243893</v>
          </cell>
          <cell r="S92">
            <v>22.203671289974587</v>
          </cell>
          <cell r="T92">
            <v>14.562108379757978</v>
          </cell>
          <cell r="U92">
            <v>10.158990124290606</v>
          </cell>
          <cell r="V92">
            <v>7.0746400098462683</v>
          </cell>
          <cell r="X92">
            <v>16.870457298049939</v>
          </cell>
          <cell r="Y92">
            <v>14.516056815362457</v>
          </cell>
          <cell r="Z92">
            <v>11.892944673189838</v>
          </cell>
          <cell r="AA92">
            <v>9.4370157725113888</v>
          </cell>
        </row>
        <row r="93">
          <cell r="D93">
            <v>0.30732096005526549</v>
          </cell>
          <cell r="E93">
            <v>0.33124248456636723</v>
          </cell>
          <cell r="F93">
            <v>0.32655990286450637</v>
          </cell>
          <cell r="G93">
            <v>0.32407895440588347</v>
          </cell>
          <cell r="I93">
            <v>0.1637145269294753</v>
          </cell>
          <cell r="J93">
            <v>0.20535727990180039</v>
          </cell>
          <cell r="K93">
            <v>0.21872301517075277</v>
          </cell>
          <cell r="L93">
            <v>0.22866006724769622</v>
          </cell>
          <cell r="N93">
            <v>0.26893831644585475</v>
          </cell>
          <cell r="O93">
            <v>0.27982810225837584</v>
          </cell>
          <cell r="P93">
            <v>0.25647418898250274</v>
          </cell>
          <cell r="Q93">
            <v>0.24775955590059709</v>
          </cell>
          <cell r="S93">
            <v>8.220290540992109E-2</v>
          </cell>
          <cell r="T93">
            <v>0.12646437074527511</v>
          </cell>
          <cell r="U93">
            <v>0.1589101172516211</v>
          </cell>
          <cell r="V93">
            <v>0.19751248872970936</v>
          </cell>
          <cell r="X93">
            <v>0.23315692076963968</v>
          </cell>
          <cell r="Y93">
            <v>0.23226757585856594</v>
          </cell>
          <cell r="Z93">
            <v>0.20584659078157477</v>
          </cell>
          <cell r="AA93">
            <v>0.20158589787514694</v>
          </cell>
        </row>
        <row r="95">
          <cell r="D95" t="str">
            <v>Lookup Variables:</v>
          </cell>
          <cell r="I95" t="str">
            <v>Lookup Variables:</v>
          </cell>
          <cell r="N95" t="str">
            <v>Lookup Variables:</v>
          </cell>
          <cell r="S95" t="str">
            <v>Lookup Variables:</v>
          </cell>
          <cell r="X95" t="str">
            <v>Lookup Variables:</v>
          </cell>
        </row>
        <row r="97">
          <cell r="G97">
            <v>24.190389665291534</v>
          </cell>
          <cell r="L97">
            <v>58.992728919240207</v>
          </cell>
          <cell r="Q97">
            <v>70.123245568408606</v>
          </cell>
          <cell r="V97">
            <v>65.066600038000004</v>
          </cell>
          <cell r="AA97">
            <v>46.140005943405924</v>
          </cell>
        </row>
        <row r="98">
          <cell r="G98">
            <v>32.53174322369896</v>
          </cell>
          <cell r="L98">
            <v>76.395289760000011</v>
          </cell>
          <cell r="Q98">
            <v>82.674918239999997</v>
          </cell>
          <cell r="V98">
            <v>99.210729759999992</v>
          </cell>
          <cell r="AA98">
            <v>53.623584551984528</v>
          </cell>
        </row>
        <row r="99">
          <cell r="G99">
            <v>41.341743223698963</v>
          </cell>
          <cell r="L99">
            <v>95.395289760000011</v>
          </cell>
          <cell r="Q99">
            <v>95.274918239999991</v>
          </cell>
          <cell r="V99">
            <v>142.21072975999999</v>
          </cell>
          <cell r="AA99">
            <v>65.450821591287408</v>
          </cell>
        </row>
        <row r="100">
          <cell r="G100">
            <v>47.991743223698961</v>
          </cell>
          <cell r="L100">
            <v>122.49528976000001</v>
          </cell>
          <cell r="Q100">
            <v>111.27491823999999</v>
          </cell>
          <cell r="V100">
            <v>204.21072975999999</v>
          </cell>
          <cell r="AA100">
            <v>82.48402024158645</v>
          </cell>
        </row>
        <row r="102">
          <cell r="G102">
            <v>104.25974379503604</v>
          </cell>
          <cell r="L102">
            <v>415.50300000000004</v>
          </cell>
          <cell r="Q102">
            <v>295.786</v>
          </cell>
          <cell r="V102">
            <v>769.21299999999997</v>
          </cell>
          <cell r="AA102">
            <v>235.703</v>
          </cell>
        </row>
        <row r="103">
          <cell r="G103">
            <v>116.64852874830707</v>
          </cell>
          <cell r="L103">
            <v>391.38819505333731</v>
          </cell>
          <cell r="Q103">
            <v>335.57489462005594</v>
          </cell>
          <cell r="V103">
            <v>837.41300000000001</v>
          </cell>
          <cell r="AA103">
            <v>271.80973576610961</v>
          </cell>
        </row>
        <row r="104">
          <cell r="G104">
            <v>136.54693622494256</v>
          </cell>
          <cell r="L104">
            <v>480.90491672117611</v>
          </cell>
          <cell r="Q104">
            <v>407.38422043147756</v>
          </cell>
          <cell r="V104">
            <v>952.41300000000001</v>
          </cell>
          <cell r="AA104">
            <v>364.10870565940536</v>
          </cell>
        </row>
        <row r="105">
          <cell r="G105">
            <v>159.62621893522294</v>
          </cell>
          <cell r="L105">
            <v>590.51337886873011</v>
          </cell>
          <cell r="Q105">
            <v>490.8650344601827</v>
          </cell>
          <cell r="V105">
            <v>1115.413</v>
          </cell>
          <cell r="AA105">
            <v>454.24239043436279</v>
          </cell>
        </row>
        <row r="107">
          <cell r="G107">
            <v>16.132679999999997</v>
          </cell>
          <cell r="L107">
            <v>0</v>
          </cell>
          <cell r="Q107">
            <v>14.3</v>
          </cell>
          <cell r="V107">
            <v>19.760000000000002</v>
          </cell>
          <cell r="AA107">
            <v>0</v>
          </cell>
        </row>
        <row r="108">
          <cell r="G108">
            <v>0.27081241664240197</v>
          </cell>
          <cell r="L108">
            <v>0.2487064328139803</v>
          </cell>
          <cell r="Q108">
            <v>0.15240414225053112</v>
          </cell>
          <cell r="V108">
            <v>0.43342086187674478</v>
          </cell>
          <cell r="AA108">
            <v>0.22056035862050871</v>
          </cell>
        </row>
        <row r="109">
          <cell r="G109">
            <v>0.26867947544983228</v>
          </cell>
          <cell r="L109" t="str">
            <v>N/A</v>
          </cell>
          <cell r="Q109">
            <v>0.53846153846153832</v>
          </cell>
          <cell r="V109">
            <v>0.88957489878542506</v>
          </cell>
          <cell r="AA109" t="str">
            <v>N/A</v>
          </cell>
        </row>
        <row r="111">
          <cell r="G111">
            <v>4.9511484048420744</v>
          </cell>
          <cell r="L111">
            <v>2.3825995430887379</v>
          </cell>
          <cell r="Q111">
            <v>3.4168797890366682</v>
          </cell>
          <cell r="V111">
            <v>1.8781760048257117</v>
          </cell>
          <cell r="AA111">
            <v>3.302473876021943</v>
          </cell>
        </row>
        <row r="112">
          <cell r="G112">
            <v>21.339278586350748</v>
          </cell>
          <cell r="L112">
            <v>16.781343668763956</v>
          </cell>
          <cell r="Q112">
            <v>14.41269862921629</v>
          </cell>
          <cell r="V112">
            <v>22.203671289974587</v>
          </cell>
          <cell r="AA112">
            <v>16.870457298049939</v>
          </cell>
        </row>
        <row r="113">
          <cell r="G113">
            <v>0.30732096005526549</v>
          </cell>
          <cell r="L113">
            <v>0.1637145269294753</v>
          </cell>
          <cell r="Q113">
            <v>0.26893831644585475</v>
          </cell>
          <cell r="V113">
            <v>8.220290540992109E-2</v>
          </cell>
          <cell r="AA113">
            <v>0.23315692076963968</v>
          </cell>
        </row>
        <row r="115">
          <cell r="G115">
            <v>4.4253062573455546</v>
          </cell>
          <cell r="L115">
            <v>2.5293998911160021</v>
          </cell>
          <cell r="Q115">
            <v>3.011742598993568</v>
          </cell>
          <cell r="V115">
            <v>1.7252149168928594</v>
          </cell>
          <cell r="AA115">
            <v>2.8637789511329732</v>
          </cell>
        </row>
        <row r="116">
          <cell r="G116">
            <v>15.867746792123546</v>
          </cell>
          <cell r="L116">
            <v>12.958616441695133</v>
          </cell>
          <cell r="Q116">
            <v>12.224568548663134</v>
          </cell>
          <cell r="V116">
            <v>14.562108379757978</v>
          </cell>
          <cell r="AA116">
            <v>14.516056815362457</v>
          </cell>
        </row>
        <row r="117">
          <cell r="G117">
            <v>0.33124248456636723</v>
          </cell>
          <cell r="L117">
            <v>0.20535727990180039</v>
          </cell>
          <cell r="Q117">
            <v>0.27982810225837584</v>
          </cell>
          <cell r="V117">
            <v>0.12646437074527511</v>
          </cell>
          <cell r="AA117">
            <v>0.23226757585856594</v>
          </cell>
        </row>
        <row r="119">
          <cell r="G119">
            <v>3.7804250937542649</v>
          </cell>
          <cell r="L119">
            <v>2.058571712474254</v>
          </cell>
          <cell r="Q119">
            <v>2.4808648803568349</v>
          </cell>
          <cell r="V119">
            <v>1.5169022254001152</v>
          </cell>
          <cell r="AA119">
            <v>2.1378313341624242</v>
          </cell>
        </row>
        <row r="120">
          <cell r="G120">
            <v>12.486301348902087</v>
          </cell>
          <cell r="L120">
            <v>10.377632485237285</v>
          </cell>
          <cell r="Q120">
            <v>10.607883207352728</v>
          </cell>
          <cell r="V120">
            <v>10.158990124290606</v>
          </cell>
          <cell r="AA120">
            <v>11.892944673189838</v>
          </cell>
        </row>
        <row r="121">
          <cell r="G121">
            <v>0.32655990286450637</v>
          </cell>
          <cell r="L121">
            <v>0.21872301517075277</v>
          </cell>
          <cell r="Q121">
            <v>0.25647418898250274</v>
          </cell>
          <cell r="V121">
            <v>0.1589101172516211</v>
          </cell>
          <cell r="AA121">
            <v>0.20584659078157477</v>
          </cell>
        </row>
        <row r="123">
          <cell r="G123">
            <v>3.2338388243695397</v>
          </cell>
          <cell r="L123">
            <v>1.676468803888133</v>
          </cell>
          <cell r="Q123">
            <v>2.0589472346333557</v>
          </cell>
          <cell r="V123">
            <v>1.2952309137512295</v>
          </cell>
          <cell r="AA123">
            <v>1.713629146887113</v>
          </cell>
        </row>
        <row r="124">
          <cell r="G124">
            <v>10.756130732194928</v>
          </cell>
          <cell r="L124">
            <v>8.0817577548624264</v>
          </cell>
          <cell r="Q124">
            <v>9.0825967007243893</v>
          </cell>
          <cell r="V124">
            <v>7.0746400098462683</v>
          </cell>
          <cell r="AA124">
            <v>9.4370157725113888</v>
          </cell>
        </row>
        <row r="125">
          <cell r="G125">
            <v>0.32407895440588347</v>
          </cell>
          <cell r="L125">
            <v>0.22866006724769622</v>
          </cell>
          <cell r="Q125">
            <v>0.24775955590059709</v>
          </cell>
          <cell r="V125">
            <v>0.19751248872970936</v>
          </cell>
          <cell r="AA125">
            <v>0.20158589787514694</v>
          </cell>
        </row>
        <row r="127">
          <cell r="G127">
            <v>133.28878495327103</v>
          </cell>
          <cell r="L127">
            <v>359.4751950533373</v>
          </cell>
          <cell r="Q127">
            <v>292.08789462005592</v>
          </cell>
          <cell r="V127">
            <v>1146</v>
          </cell>
          <cell r="AA127">
            <v>311.90673576610959</v>
          </cell>
        </row>
        <row r="128">
          <cell r="G128">
            <v>153.18719242990653</v>
          </cell>
          <cell r="L128">
            <v>448.9919167211761</v>
          </cell>
          <cell r="Q128">
            <v>363.89722043147754</v>
          </cell>
          <cell r="V128">
            <v>1261</v>
          </cell>
          <cell r="AA128">
            <v>404.20570565940534</v>
          </cell>
        </row>
        <row r="129">
          <cell r="G129">
            <v>25</v>
          </cell>
          <cell r="L129">
            <v>58.075897405029906</v>
          </cell>
          <cell r="Q129">
            <v>69.511014684459113</v>
          </cell>
          <cell r="V129">
            <v>73.335999999999999</v>
          </cell>
          <cell r="AA129">
            <v>46.610431193897838</v>
          </cell>
        </row>
        <row r="130">
          <cell r="G130">
            <v>0.29042574794575315</v>
          </cell>
          <cell r="L130">
            <v>0.23476527026981459</v>
          </cell>
          <cell r="Q130">
            <v>0.2884211785585053</v>
          </cell>
          <cell r="V130">
            <v>0.12214374740340674</v>
          </cell>
          <cell r="AA130">
            <v>0.18453282811218938</v>
          </cell>
        </row>
        <row r="131">
          <cell r="G131">
            <v>3.4783960194897685</v>
          </cell>
          <cell r="L131">
            <v>2.1338118177012921</v>
          </cell>
          <cell r="Q131">
            <v>2.6578334512508905</v>
          </cell>
          <cell r="V131">
            <v>1.3904079295796987</v>
          </cell>
          <cell r="AA131">
            <v>2.0249590457035516</v>
          </cell>
        </row>
      </sheetData>
      <sheetData sheetId="13"/>
      <sheetData sheetId="14">
        <row r="6">
          <cell r="F6" t="str">
            <v>LTM</v>
          </cell>
        </row>
        <row r="7">
          <cell r="F7">
            <v>42369</v>
          </cell>
        </row>
        <row r="8">
          <cell r="F8">
            <v>42735</v>
          </cell>
        </row>
        <row r="9">
          <cell r="F9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06AB-1670-DE4D-ADB6-599DEEA87AFC}">
  <sheetPr>
    <tabColor rgb="FF00B050"/>
  </sheetPr>
  <dimension ref="B1:R205"/>
  <sheetViews>
    <sheetView tabSelected="1" zoomScale="130" zoomScaleNormal="130" workbookViewId="0">
      <pane ySplit="4" topLeftCell="A5" activePane="bottomLeft" state="frozen"/>
      <selection pane="bottomLeft" activeCell="C9" sqref="C9"/>
    </sheetView>
  </sheetViews>
  <sheetFormatPr baseColWidth="10" defaultRowHeight="16" outlineLevelRow="1"/>
  <cols>
    <col min="1" max="1" width="2.83203125" style="1" customWidth="1"/>
    <col min="2" max="2" width="34.1640625" style="1" customWidth="1"/>
    <col min="3" max="9" width="9.1640625" style="1" customWidth="1"/>
    <col min="10" max="10" width="12.83203125" style="1" customWidth="1"/>
    <col min="11" max="11" width="10.83203125" style="2"/>
    <col min="12" max="16384" width="10.83203125" style="1"/>
  </cols>
  <sheetData>
    <row r="1" spans="2:18" ht="7" customHeight="1"/>
    <row r="2" spans="2:18">
      <c r="B2" s="3" t="s">
        <v>0</v>
      </c>
      <c r="C2" s="4" t="s">
        <v>1</v>
      </c>
      <c r="D2" s="4"/>
      <c r="E2" s="4"/>
      <c r="F2" s="5" t="s">
        <v>2</v>
      </c>
      <c r="G2" s="6"/>
      <c r="H2" s="6"/>
      <c r="I2" s="6"/>
      <c r="J2" s="7"/>
      <c r="L2" s="8"/>
      <c r="M2" s="8"/>
      <c r="N2" s="8"/>
      <c r="O2" s="8"/>
      <c r="P2" s="8"/>
      <c r="Q2" s="8"/>
      <c r="R2" s="8"/>
    </row>
    <row r="3" spans="2:18">
      <c r="B3" s="9" t="s">
        <v>3</v>
      </c>
      <c r="C3" s="10">
        <v>2018</v>
      </c>
      <c r="D3" s="10">
        <v>2019</v>
      </c>
      <c r="E3" s="10">
        <v>2020</v>
      </c>
      <c r="F3" s="11" t="s">
        <v>4</v>
      </c>
      <c r="G3" s="11" t="s">
        <v>5</v>
      </c>
      <c r="H3" s="11">
        <v>2023</v>
      </c>
      <c r="I3" s="11" t="s">
        <v>6</v>
      </c>
      <c r="J3" s="7"/>
      <c r="L3" s="8"/>
      <c r="M3" s="8"/>
      <c r="N3" s="8"/>
      <c r="O3" s="8"/>
      <c r="P3" s="8"/>
      <c r="Q3" s="8"/>
      <c r="R3" s="8"/>
    </row>
    <row r="4" spans="2:18">
      <c r="B4" s="12" t="s">
        <v>7</v>
      </c>
      <c r="C4" s="13" t="str">
        <f t="shared" ref="C4:I4" si="0">IF(ABS(C55-C69)&gt;1,"ERROR","OK")</f>
        <v>OK</v>
      </c>
      <c r="D4" s="13" t="str">
        <f t="shared" si="0"/>
        <v>OK</v>
      </c>
      <c r="E4" s="13" t="str">
        <f t="shared" si="0"/>
        <v>OK</v>
      </c>
      <c r="F4" s="13" t="str">
        <f t="shared" si="0"/>
        <v>OK</v>
      </c>
      <c r="G4" s="13" t="str">
        <f t="shared" si="0"/>
        <v>OK</v>
      </c>
      <c r="H4" s="13" t="str">
        <f t="shared" si="0"/>
        <v>OK</v>
      </c>
      <c r="I4" s="13" t="str">
        <f t="shared" si="0"/>
        <v>OK</v>
      </c>
      <c r="J4" s="7"/>
      <c r="L4" s="14"/>
      <c r="M4" s="14"/>
      <c r="N4" s="14"/>
      <c r="O4" s="14"/>
      <c r="P4" s="14"/>
      <c r="Q4" s="14"/>
      <c r="R4" s="14"/>
    </row>
    <row r="5" spans="2:18">
      <c r="B5" s="15" t="s">
        <v>8</v>
      </c>
      <c r="C5" s="16">
        <v>365</v>
      </c>
      <c r="D5" s="16">
        <v>365</v>
      </c>
      <c r="E5" s="16">
        <v>365</v>
      </c>
      <c r="F5" s="16">
        <v>365</v>
      </c>
      <c r="G5" s="16">
        <v>365</v>
      </c>
      <c r="H5" s="16">
        <v>365</v>
      </c>
      <c r="I5" s="16">
        <v>365</v>
      </c>
      <c r="J5" s="7"/>
      <c r="L5" s="7"/>
      <c r="M5" s="7"/>
      <c r="N5" s="7"/>
      <c r="O5" s="7"/>
      <c r="P5" s="7"/>
      <c r="Q5" s="7"/>
      <c r="R5" s="7"/>
    </row>
    <row r="6" spans="2:18" ht="17">
      <c r="B6" s="17" t="s">
        <v>9</v>
      </c>
      <c r="C6" s="10">
        <v>2018</v>
      </c>
      <c r="D6" s="10">
        <v>2019</v>
      </c>
      <c r="E6" s="10">
        <v>2020</v>
      </c>
      <c r="F6" s="11">
        <v>2021</v>
      </c>
      <c r="G6" s="11">
        <v>2022</v>
      </c>
      <c r="H6" s="11">
        <v>2023</v>
      </c>
      <c r="I6" s="11">
        <v>2024</v>
      </c>
      <c r="J6" s="7"/>
      <c r="L6" s="7"/>
      <c r="M6" s="7"/>
      <c r="N6" s="7"/>
      <c r="O6" s="7"/>
      <c r="P6" s="7"/>
      <c r="Q6" s="7"/>
      <c r="R6" s="7"/>
    </row>
    <row r="7" spans="2:18" ht="10" customHeight="1" outlineLevel="1">
      <c r="B7" s="7"/>
      <c r="C7" s="18"/>
      <c r="D7" s="18"/>
      <c r="E7" s="18"/>
      <c r="F7" s="19"/>
      <c r="G7" s="19"/>
      <c r="H7" s="19"/>
      <c r="I7" s="19"/>
      <c r="J7" s="7"/>
      <c r="L7" s="7"/>
      <c r="M7" s="7"/>
      <c r="N7" s="7"/>
      <c r="O7" s="7"/>
      <c r="P7" s="7"/>
      <c r="Q7" s="7"/>
      <c r="R7" s="7"/>
    </row>
    <row r="8" spans="2:18" outlineLevel="1">
      <c r="B8" s="20" t="s">
        <v>10</v>
      </c>
      <c r="C8" s="21"/>
      <c r="D8" s="21"/>
      <c r="E8" s="21"/>
      <c r="F8" s="7"/>
      <c r="G8" s="22"/>
      <c r="H8" s="7"/>
      <c r="I8" s="7"/>
      <c r="J8" s="7"/>
      <c r="L8" s="7"/>
      <c r="M8" s="7"/>
      <c r="N8" s="7"/>
      <c r="O8" s="7"/>
      <c r="P8" s="7"/>
      <c r="Q8" s="7"/>
      <c r="R8" s="7"/>
    </row>
    <row r="9" spans="2:18" outlineLevel="1">
      <c r="B9" s="7" t="s">
        <v>11</v>
      </c>
      <c r="C9" s="23">
        <v>0.06</v>
      </c>
      <c r="D9" s="23">
        <v>0.05</v>
      </c>
      <c r="E9" s="23">
        <v>0.05</v>
      </c>
      <c r="F9" s="23">
        <v>0.05</v>
      </c>
      <c r="G9" s="23">
        <v>0.05</v>
      </c>
      <c r="H9" s="23">
        <v>0.05</v>
      </c>
      <c r="I9" s="24">
        <v>0.05</v>
      </c>
      <c r="J9" s="7"/>
      <c r="L9" s="7"/>
      <c r="M9" s="7"/>
      <c r="N9" s="7"/>
      <c r="O9" s="7"/>
      <c r="P9" s="7"/>
      <c r="Q9" s="7"/>
      <c r="R9" s="7"/>
    </row>
    <row r="10" spans="2:18" outlineLevel="1">
      <c r="B10" s="7" t="s">
        <v>12</v>
      </c>
      <c r="C10" s="23">
        <v>0.3</v>
      </c>
      <c r="D10" s="23">
        <v>0.3</v>
      </c>
      <c r="E10" s="23">
        <v>0.3</v>
      </c>
      <c r="F10" s="23">
        <v>0.3</v>
      </c>
      <c r="G10" s="23">
        <v>0.3</v>
      </c>
      <c r="H10" s="23">
        <v>0.3</v>
      </c>
      <c r="I10" s="24">
        <v>0.3</v>
      </c>
      <c r="J10" s="7"/>
      <c r="L10" s="7"/>
      <c r="M10" s="7"/>
      <c r="N10" s="7"/>
      <c r="O10" s="7"/>
      <c r="P10" s="7"/>
      <c r="Q10" s="7"/>
      <c r="R10" s="7"/>
    </row>
    <row r="11" spans="2:18" outlineLevel="1">
      <c r="B11" s="7" t="s">
        <v>13</v>
      </c>
      <c r="C11" s="23">
        <v>0.06</v>
      </c>
      <c r="D11" s="23">
        <v>0.06</v>
      </c>
      <c r="E11" s="23">
        <v>0.06</v>
      </c>
      <c r="F11" s="23">
        <v>0.06</v>
      </c>
      <c r="G11" s="23">
        <v>0.06</v>
      </c>
      <c r="H11" s="23">
        <v>0.06</v>
      </c>
      <c r="I11" s="24">
        <v>0.06</v>
      </c>
      <c r="J11" s="7"/>
      <c r="L11" s="7"/>
      <c r="M11" s="7"/>
      <c r="N11" s="7"/>
      <c r="O11" s="7"/>
      <c r="P11" s="7"/>
      <c r="Q11" s="7"/>
      <c r="R11" s="7"/>
    </row>
    <row r="12" spans="2:18" outlineLevel="1">
      <c r="B12" s="7" t="s">
        <v>14</v>
      </c>
      <c r="C12" s="23">
        <v>7.0000000000000007E-2</v>
      </c>
      <c r="D12" s="23">
        <v>7.0000000000000007E-2</v>
      </c>
      <c r="E12" s="23">
        <v>7.0000000000000007E-2</v>
      </c>
      <c r="F12" s="23">
        <v>0.05</v>
      </c>
      <c r="G12" s="23">
        <v>0.05</v>
      </c>
      <c r="H12" s="23">
        <v>0.05</v>
      </c>
      <c r="I12" s="24">
        <v>0.05</v>
      </c>
      <c r="J12" s="7"/>
      <c r="L12" s="7"/>
      <c r="M12" s="7"/>
      <c r="N12" s="7"/>
      <c r="O12" s="7"/>
      <c r="P12" s="7"/>
      <c r="Q12" s="7"/>
      <c r="R12" s="7"/>
    </row>
    <row r="13" spans="2:18" outlineLevel="1">
      <c r="B13" s="7" t="s">
        <v>15</v>
      </c>
      <c r="C13" s="23">
        <v>0.05</v>
      </c>
      <c r="D13" s="23">
        <v>0.05</v>
      </c>
      <c r="E13" s="23">
        <v>0.05</v>
      </c>
      <c r="F13" s="23">
        <v>0.05</v>
      </c>
      <c r="G13" s="23">
        <v>0.05</v>
      </c>
      <c r="H13" s="23">
        <v>0.05</v>
      </c>
      <c r="I13" s="24">
        <v>0.05</v>
      </c>
      <c r="J13" s="7"/>
      <c r="L13" s="7"/>
      <c r="M13" s="7"/>
      <c r="N13" s="7"/>
      <c r="O13" s="7"/>
      <c r="P13" s="7"/>
      <c r="Q13" s="7"/>
      <c r="R13" s="7"/>
    </row>
    <row r="14" spans="2:18" outlineLevel="1">
      <c r="B14" s="7" t="s">
        <v>16</v>
      </c>
      <c r="C14" s="23">
        <v>0.03</v>
      </c>
      <c r="D14" s="23">
        <v>0.03</v>
      </c>
      <c r="E14" s="23">
        <v>0.03</v>
      </c>
      <c r="F14" s="23">
        <v>0.03</v>
      </c>
      <c r="G14" s="23">
        <v>0.03</v>
      </c>
      <c r="H14" s="23">
        <v>0.03</v>
      </c>
      <c r="I14" s="24">
        <v>0.03</v>
      </c>
      <c r="J14" s="7"/>
      <c r="L14" s="7"/>
      <c r="M14" s="7"/>
      <c r="N14" s="7"/>
      <c r="O14" s="7"/>
      <c r="P14" s="7"/>
      <c r="Q14" s="7"/>
      <c r="R14" s="7"/>
    </row>
    <row r="15" spans="2:18" outlineLevel="1">
      <c r="B15" s="7" t="s">
        <v>17</v>
      </c>
      <c r="C15" s="23">
        <v>0.05</v>
      </c>
      <c r="D15" s="23">
        <v>0.05</v>
      </c>
      <c r="E15" s="23">
        <v>0.05</v>
      </c>
      <c r="F15" s="23">
        <v>0.05</v>
      </c>
      <c r="G15" s="23">
        <v>0.05</v>
      </c>
      <c r="H15" s="23">
        <v>0.05</v>
      </c>
      <c r="I15" s="24">
        <v>0.05</v>
      </c>
      <c r="J15" s="7"/>
      <c r="L15" s="7"/>
      <c r="M15" s="7"/>
      <c r="N15" s="7"/>
      <c r="O15" s="7"/>
      <c r="P15" s="7"/>
      <c r="Q15" s="7"/>
      <c r="R15" s="7"/>
    </row>
    <row r="16" spans="2:18" outlineLevel="1">
      <c r="B16" s="7" t="s">
        <v>18</v>
      </c>
      <c r="C16" s="23">
        <v>0.25</v>
      </c>
      <c r="D16" s="23">
        <v>0.25</v>
      </c>
      <c r="E16" s="23">
        <v>0.25</v>
      </c>
      <c r="F16" s="23">
        <v>0.25</v>
      </c>
      <c r="G16" s="23">
        <v>0.25</v>
      </c>
      <c r="H16" s="23">
        <v>0.25</v>
      </c>
      <c r="I16" s="24">
        <v>0.25</v>
      </c>
      <c r="J16" s="7"/>
      <c r="L16" s="7"/>
      <c r="M16" s="7"/>
      <c r="N16" s="7"/>
      <c r="O16" s="7"/>
      <c r="P16" s="7"/>
      <c r="Q16" s="7"/>
      <c r="R16" s="7"/>
    </row>
    <row r="17" spans="2:18" outlineLevel="1">
      <c r="B17" s="7"/>
      <c r="C17" s="25"/>
      <c r="D17" s="26"/>
      <c r="E17" s="26"/>
      <c r="G17" s="27"/>
      <c r="H17" s="28"/>
      <c r="I17" s="28"/>
      <c r="J17" s="7"/>
      <c r="L17" s="7"/>
      <c r="M17" s="7"/>
      <c r="N17" s="7"/>
      <c r="O17" s="7"/>
      <c r="P17" s="7"/>
      <c r="Q17" s="7"/>
      <c r="R17" s="7"/>
    </row>
    <row r="18" spans="2:18" outlineLevel="1">
      <c r="B18" s="20" t="s">
        <v>19</v>
      </c>
      <c r="C18" s="25"/>
      <c r="D18" s="26"/>
      <c r="E18" s="26"/>
      <c r="G18" s="27"/>
      <c r="H18" s="28"/>
      <c r="I18" s="28"/>
      <c r="J18" s="7"/>
      <c r="L18" s="7"/>
      <c r="M18" s="7"/>
      <c r="N18" s="7"/>
      <c r="O18" s="7"/>
      <c r="P18" s="7"/>
      <c r="Q18" s="7"/>
      <c r="R18" s="7"/>
    </row>
    <row r="19" spans="2:18" outlineLevel="1">
      <c r="B19" s="7" t="s">
        <v>20</v>
      </c>
      <c r="C19" s="29">
        <v>3.2</v>
      </c>
      <c r="D19" s="29">
        <v>3.2</v>
      </c>
      <c r="E19" s="29">
        <v>3.2</v>
      </c>
      <c r="F19" s="29">
        <v>3.2</v>
      </c>
      <c r="G19" s="29">
        <v>3.2</v>
      </c>
      <c r="H19" s="29">
        <v>3.2</v>
      </c>
      <c r="I19" s="29">
        <v>3.2</v>
      </c>
      <c r="J19" s="7"/>
      <c r="L19" s="7"/>
      <c r="M19" s="7"/>
      <c r="N19" s="7"/>
      <c r="O19" s="7"/>
      <c r="P19" s="7"/>
      <c r="Q19" s="7"/>
      <c r="R19" s="7"/>
    </row>
    <row r="20" spans="2:18" outlineLevel="1">
      <c r="B20" s="7" t="s">
        <v>21</v>
      </c>
      <c r="C20" s="30">
        <v>32</v>
      </c>
      <c r="D20" s="30">
        <v>32</v>
      </c>
      <c r="E20" s="30">
        <v>32</v>
      </c>
      <c r="F20" s="30">
        <v>32</v>
      </c>
      <c r="G20" s="30">
        <v>32</v>
      </c>
      <c r="H20" s="30">
        <v>32</v>
      </c>
      <c r="I20" s="30">
        <v>32</v>
      </c>
      <c r="J20" s="7"/>
      <c r="L20" s="7"/>
      <c r="M20" s="7"/>
      <c r="N20" s="7"/>
      <c r="O20" s="7"/>
      <c r="P20" s="7"/>
      <c r="Q20" s="7"/>
      <c r="R20" s="7"/>
    </row>
    <row r="21" spans="2:18" outlineLevel="1">
      <c r="B21" s="7" t="s">
        <v>22</v>
      </c>
      <c r="C21" s="30">
        <v>35</v>
      </c>
      <c r="D21" s="30">
        <v>35</v>
      </c>
      <c r="E21" s="30">
        <v>35</v>
      </c>
      <c r="F21" s="30">
        <v>35</v>
      </c>
      <c r="G21" s="30">
        <v>35</v>
      </c>
      <c r="H21" s="30">
        <v>35</v>
      </c>
      <c r="I21" s="30">
        <v>35</v>
      </c>
      <c r="J21" s="7"/>
      <c r="L21" s="7"/>
      <c r="M21" s="7"/>
      <c r="N21" s="7"/>
      <c r="O21" s="7"/>
      <c r="P21" s="7"/>
      <c r="Q21" s="7"/>
      <c r="R21" s="7"/>
    </row>
    <row r="22" spans="2:18" outlineLevel="1">
      <c r="B22" s="7" t="s">
        <v>23</v>
      </c>
      <c r="C22" s="30">
        <v>30</v>
      </c>
      <c r="D22" s="30">
        <v>30</v>
      </c>
      <c r="E22" s="30">
        <v>30</v>
      </c>
      <c r="F22" s="30">
        <v>30</v>
      </c>
      <c r="G22" s="30">
        <v>30</v>
      </c>
      <c r="H22" s="30">
        <v>30</v>
      </c>
      <c r="I22" s="30">
        <v>30</v>
      </c>
      <c r="J22" s="7"/>
      <c r="L22" s="7"/>
      <c r="M22" s="7"/>
      <c r="N22" s="7"/>
      <c r="O22" s="7"/>
      <c r="P22" s="7"/>
      <c r="Q22" s="7"/>
      <c r="R22" s="7"/>
    </row>
    <row r="23" spans="2:18" outlineLevel="1">
      <c r="B23" s="7" t="s">
        <v>24</v>
      </c>
      <c r="C23" s="31">
        <v>0.2</v>
      </c>
      <c r="D23" s="23">
        <v>0.2</v>
      </c>
      <c r="E23" s="23">
        <v>0.2</v>
      </c>
      <c r="F23" s="23">
        <v>0.2</v>
      </c>
      <c r="G23" s="23">
        <v>0.2</v>
      </c>
      <c r="H23" s="23">
        <v>0.2</v>
      </c>
      <c r="I23" s="23">
        <v>0.2</v>
      </c>
      <c r="J23" s="7"/>
      <c r="L23" s="7"/>
      <c r="M23" s="7"/>
      <c r="N23" s="7"/>
      <c r="O23" s="7"/>
      <c r="P23" s="7"/>
      <c r="Q23" s="7"/>
      <c r="R23" s="7"/>
    </row>
    <row r="24" spans="2:18" outlineLevel="1">
      <c r="B24" s="7" t="s">
        <v>25</v>
      </c>
      <c r="C24" s="30">
        <v>45000</v>
      </c>
      <c r="D24" s="30">
        <f t="shared" ref="D24:I25" si="1">C24</f>
        <v>45000</v>
      </c>
      <c r="E24" s="30">
        <f t="shared" si="1"/>
        <v>45000</v>
      </c>
      <c r="F24" s="30">
        <f t="shared" si="1"/>
        <v>45000</v>
      </c>
      <c r="G24" s="30">
        <f t="shared" si="1"/>
        <v>45000</v>
      </c>
      <c r="H24" s="30">
        <f t="shared" si="1"/>
        <v>45000</v>
      </c>
      <c r="I24" s="30">
        <f t="shared" si="1"/>
        <v>45000</v>
      </c>
      <c r="J24" s="7"/>
      <c r="L24" s="7"/>
      <c r="M24" s="7"/>
      <c r="N24" s="7"/>
      <c r="O24" s="7"/>
      <c r="P24" s="7"/>
      <c r="Q24" s="7"/>
      <c r="R24" s="7"/>
    </row>
    <row r="25" spans="2:18" outlineLevel="1">
      <c r="B25" s="7" t="s">
        <v>26</v>
      </c>
      <c r="C25" s="30">
        <v>20000</v>
      </c>
      <c r="D25" s="30">
        <f t="shared" si="1"/>
        <v>20000</v>
      </c>
      <c r="E25" s="30">
        <f t="shared" si="1"/>
        <v>20000</v>
      </c>
      <c r="F25" s="30">
        <f t="shared" si="1"/>
        <v>20000</v>
      </c>
      <c r="G25" s="30">
        <f t="shared" si="1"/>
        <v>20000</v>
      </c>
      <c r="H25" s="30">
        <f t="shared" si="1"/>
        <v>20000</v>
      </c>
      <c r="I25" s="30">
        <f t="shared" si="1"/>
        <v>20000</v>
      </c>
      <c r="J25" s="7"/>
      <c r="L25" s="7"/>
      <c r="M25" s="7"/>
      <c r="N25" s="7"/>
      <c r="O25" s="7"/>
      <c r="P25" s="7"/>
      <c r="Q25" s="7"/>
      <c r="R25" s="7"/>
    </row>
    <row r="26" spans="2:18" outlineLevel="1">
      <c r="B26" s="7" t="s">
        <v>27</v>
      </c>
      <c r="C26" s="23">
        <v>0.65</v>
      </c>
      <c r="D26" s="23">
        <v>0.65</v>
      </c>
      <c r="E26" s="23">
        <v>0.65</v>
      </c>
      <c r="F26" s="23">
        <v>0.65</v>
      </c>
      <c r="G26" s="23">
        <v>0.65</v>
      </c>
      <c r="H26" s="23">
        <v>0.65</v>
      </c>
      <c r="I26" s="23">
        <v>0.65</v>
      </c>
      <c r="J26" s="7"/>
      <c r="L26" s="7"/>
      <c r="M26" s="7"/>
      <c r="N26" s="7"/>
      <c r="O26" s="7"/>
      <c r="P26" s="7"/>
      <c r="Q26" s="7"/>
      <c r="R26" s="7"/>
    </row>
    <row r="27" spans="2:18">
      <c r="B27" s="7"/>
      <c r="C27" s="32"/>
      <c r="D27" s="32"/>
      <c r="E27" s="32"/>
      <c r="F27" s="7"/>
      <c r="G27" s="22"/>
      <c r="H27" s="7"/>
      <c r="I27" s="7"/>
      <c r="J27" s="7"/>
      <c r="L27" s="7"/>
      <c r="M27" s="7"/>
      <c r="N27" s="7"/>
      <c r="O27" s="7"/>
      <c r="P27" s="7"/>
      <c r="Q27" s="7"/>
      <c r="R27" s="7"/>
    </row>
    <row r="28" spans="2:18" ht="19" customHeight="1">
      <c r="B28" s="17" t="s">
        <v>28</v>
      </c>
      <c r="C28" s="10">
        <v>2018</v>
      </c>
      <c r="D28" s="10">
        <v>2019</v>
      </c>
      <c r="E28" s="10">
        <v>2020</v>
      </c>
      <c r="F28" s="11">
        <v>2021</v>
      </c>
      <c r="G28" s="11">
        <v>2022</v>
      </c>
      <c r="H28" s="11">
        <v>2023</v>
      </c>
      <c r="I28" s="11">
        <v>2024</v>
      </c>
      <c r="J28" s="7"/>
      <c r="L28" s="7"/>
      <c r="M28" s="7"/>
      <c r="N28" s="7"/>
      <c r="O28" s="7"/>
      <c r="P28" s="7"/>
      <c r="Q28" s="7"/>
      <c r="R28" s="7"/>
    </row>
    <row r="29" spans="2:18" outlineLevel="1">
      <c r="B29" s="20"/>
      <c r="C29" s="21"/>
      <c r="D29" s="21"/>
      <c r="E29" s="21"/>
      <c r="F29" s="21"/>
      <c r="G29" s="21"/>
      <c r="H29" s="21"/>
      <c r="I29" s="21"/>
      <c r="J29" s="7"/>
      <c r="L29" s="7"/>
      <c r="M29" s="7"/>
      <c r="N29" s="7"/>
      <c r="O29" s="7"/>
      <c r="P29" s="7"/>
      <c r="Q29" s="7"/>
      <c r="R29" s="7"/>
    </row>
    <row r="30" spans="2:18" outlineLevel="1">
      <c r="B30" s="20" t="s">
        <v>29</v>
      </c>
      <c r="C30" s="33">
        <v>141612.72712704001</v>
      </c>
      <c r="D30" s="33">
        <v>148693.36348339202</v>
      </c>
      <c r="E30" s="33">
        <v>156128.03165756163</v>
      </c>
      <c r="F30" s="33">
        <f>E30*(1+F9)</f>
        <v>163934.43324043971</v>
      </c>
      <c r="G30" s="33">
        <f>F30*(1+G9)</f>
        <v>172131.15490246171</v>
      </c>
      <c r="H30" s="33">
        <f>G30*(1+H9)</f>
        <v>180737.71264758482</v>
      </c>
      <c r="I30" s="33">
        <f>H30*(1+I9)</f>
        <v>189774.59827996406</v>
      </c>
      <c r="J30" s="7"/>
      <c r="L30" s="7"/>
      <c r="M30" s="7"/>
      <c r="N30" s="7"/>
      <c r="O30" s="7"/>
      <c r="P30" s="7"/>
      <c r="Q30" s="7"/>
      <c r="R30" s="7"/>
    </row>
    <row r="31" spans="2:18" outlineLevel="1">
      <c r="B31" s="7" t="s">
        <v>30</v>
      </c>
      <c r="C31" s="34">
        <v>99128.908988928</v>
      </c>
      <c r="D31" s="34">
        <v>104085.35443837442</v>
      </c>
      <c r="E31" s="34">
        <v>109289.62216029313</v>
      </c>
      <c r="F31" s="34">
        <f>F30*(1-F10)</f>
        <v>114754.10326830779</v>
      </c>
      <c r="G31" s="34">
        <f>G30*(1-G10)</f>
        <v>120491.80843172318</v>
      </c>
      <c r="H31" s="34">
        <f>H30*(1-H10)</f>
        <v>126516.39885330937</v>
      </c>
      <c r="I31" s="34">
        <f>I30*(1-I10)</f>
        <v>132842.21879597483</v>
      </c>
      <c r="J31" s="7"/>
      <c r="L31" s="7"/>
      <c r="M31" s="7"/>
      <c r="N31" s="7"/>
      <c r="O31" s="7"/>
      <c r="P31" s="7"/>
      <c r="Q31" s="7"/>
      <c r="R31" s="7"/>
    </row>
    <row r="32" spans="2:18" outlineLevel="1">
      <c r="B32" s="35" t="s">
        <v>31</v>
      </c>
      <c r="C32" s="36">
        <f t="shared" ref="C32:I32" si="2">C30-C31</f>
        <v>42483.818138112008</v>
      </c>
      <c r="D32" s="36">
        <f t="shared" si="2"/>
        <v>44608.009045017607</v>
      </c>
      <c r="E32" s="36">
        <f t="shared" si="2"/>
        <v>46838.409497268498</v>
      </c>
      <c r="F32" s="36">
        <f t="shared" si="2"/>
        <v>49180.32997213192</v>
      </c>
      <c r="G32" s="36">
        <f t="shared" si="2"/>
        <v>51639.346470738528</v>
      </c>
      <c r="H32" s="36">
        <f t="shared" si="2"/>
        <v>54221.313794275455</v>
      </c>
      <c r="I32" s="36">
        <f t="shared" si="2"/>
        <v>56932.379483989236</v>
      </c>
      <c r="J32" s="7"/>
      <c r="L32" s="7"/>
      <c r="M32" s="7"/>
      <c r="N32" s="7"/>
      <c r="O32" s="7"/>
      <c r="P32" s="7"/>
      <c r="Q32" s="7"/>
      <c r="R32" s="7"/>
    </row>
    <row r="33" spans="2:18" outlineLevel="1">
      <c r="B33" s="7" t="s">
        <v>32</v>
      </c>
      <c r="C33" s="21">
        <v>8496.7636276224002</v>
      </c>
      <c r="D33" s="21">
        <v>8921.6018090035213</v>
      </c>
      <c r="E33" s="21">
        <v>9367.681899453697</v>
      </c>
      <c r="F33" s="21">
        <f>F30*F11</f>
        <v>9836.0659944263825</v>
      </c>
      <c r="G33" s="21">
        <f>G30*G11</f>
        <v>10327.869294147702</v>
      </c>
      <c r="H33" s="21">
        <f>H30*H11</f>
        <v>10844.262758855089</v>
      </c>
      <c r="I33" s="21">
        <f>I30*I11</f>
        <v>11386.475896797843</v>
      </c>
      <c r="J33" s="7"/>
      <c r="L33" s="7"/>
      <c r="M33" s="7"/>
      <c r="N33" s="7"/>
      <c r="O33" s="7"/>
      <c r="P33" s="7"/>
      <c r="Q33" s="7"/>
      <c r="R33" s="7"/>
    </row>
    <row r="34" spans="2:18" outlineLevel="1">
      <c r="B34" s="7" t="s">
        <v>33</v>
      </c>
      <c r="C34" s="21">
        <v>9912.8908988928015</v>
      </c>
      <c r="D34" s="21">
        <v>10408.535443837443</v>
      </c>
      <c r="E34" s="21">
        <v>10928.962216029315</v>
      </c>
      <c r="F34" s="21">
        <f>F30*F12</f>
        <v>8196.721662021986</v>
      </c>
      <c r="G34" s="21">
        <f>G30*G12</f>
        <v>8606.5577451230856</v>
      </c>
      <c r="H34" s="21">
        <f>H30*H12</f>
        <v>9036.8856323792406</v>
      </c>
      <c r="I34" s="21">
        <f>I30*I12</f>
        <v>9488.7299139982042</v>
      </c>
      <c r="J34" s="7"/>
      <c r="L34" s="7"/>
      <c r="M34" s="7"/>
      <c r="N34" s="7"/>
      <c r="O34" s="7"/>
      <c r="P34" s="7"/>
      <c r="Q34" s="7"/>
      <c r="R34" s="7"/>
    </row>
    <row r="35" spans="2:18" outlineLevel="1">
      <c r="B35" s="7" t="s">
        <v>34</v>
      </c>
      <c r="C35" s="21">
        <v>7080.6363563520008</v>
      </c>
      <c r="D35" s="21">
        <v>7434.6681741696011</v>
      </c>
      <c r="E35" s="21">
        <v>7806.4015828780821</v>
      </c>
      <c r="F35" s="21">
        <f>F30*F13</f>
        <v>8196.721662021986</v>
      </c>
      <c r="G35" s="21">
        <f>G30*G13</f>
        <v>8606.5577451230856</v>
      </c>
      <c r="H35" s="21">
        <f>H30*H13</f>
        <v>9036.8856323792406</v>
      </c>
      <c r="I35" s="21">
        <f>I30*I13</f>
        <v>9488.7299139982042</v>
      </c>
      <c r="J35" s="7"/>
      <c r="L35" s="7"/>
      <c r="M35" s="7"/>
      <c r="N35" s="7"/>
      <c r="O35" s="7"/>
      <c r="P35" s="7"/>
      <c r="Q35" s="7"/>
      <c r="R35" s="7"/>
    </row>
    <row r="36" spans="2:18" outlineLevel="1">
      <c r="B36" s="7" t="s">
        <v>35</v>
      </c>
      <c r="C36" s="21">
        <v>4248.3818138112001</v>
      </c>
      <c r="D36" s="21">
        <v>4460.8009045017607</v>
      </c>
      <c r="E36" s="21">
        <v>4683.8409497268485</v>
      </c>
      <c r="F36" s="21">
        <f t="shared" ref="F36:I36" si="3">F105</f>
        <v>4918.0329972131913</v>
      </c>
      <c r="G36" s="21">
        <f t="shared" si="3"/>
        <v>5163.934647073851</v>
      </c>
      <c r="H36" s="21">
        <f t="shared" si="3"/>
        <v>5422.1313794275447</v>
      </c>
      <c r="I36" s="21">
        <f t="shared" si="3"/>
        <v>5693.2379483989216</v>
      </c>
      <c r="J36" s="7"/>
      <c r="L36" s="7"/>
      <c r="M36" s="7"/>
      <c r="N36" s="7"/>
      <c r="O36" s="7"/>
      <c r="P36" s="7"/>
      <c r="Q36" s="7"/>
      <c r="R36" s="7"/>
    </row>
    <row r="37" spans="2:18" outlineLevel="1">
      <c r="B37" s="35" t="s">
        <v>36</v>
      </c>
      <c r="C37" s="37">
        <f>C32-SUM(C33:C36)</f>
        <v>12745.145441433608</v>
      </c>
      <c r="D37" s="37">
        <f t="shared" ref="D37:I37" si="4">D32-SUM(D33:D36)</f>
        <v>13382.402713505282</v>
      </c>
      <c r="E37" s="37">
        <f t="shared" si="4"/>
        <v>14051.522849180554</v>
      </c>
      <c r="F37" s="37">
        <f t="shared" si="4"/>
        <v>18032.787656448378</v>
      </c>
      <c r="G37" s="37">
        <f t="shared" si="4"/>
        <v>18934.427039270806</v>
      </c>
      <c r="H37" s="37">
        <f t="shared" si="4"/>
        <v>19881.148391234339</v>
      </c>
      <c r="I37" s="37">
        <f t="shared" si="4"/>
        <v>20875.205810796062</v>
      </c>
      <c r="J37" s="7"/>
      <c r="L37" s="7"/>
      <c r="M37" s="7"/>
      <c r="N37" s="7"/>
      <c r="O37" s="7"/>
      <c r="P37" s="7"/>
      <c r="Q37" s="7"/>
      <c r="R37" s="7"/>
    </row>
    <row r="38" spans="2:18" outlineLevel="1">
      <c r="B38" s="7" t="s">
        <v>37</v>
      </c>
      <c r="C38" s="34">
        <v>2250</v>
      </c>
      <c r="D38" s="34">
        <v>2250</v>
      </c>
      <c r="E38" s="34">
        <v>2250</v>
      </c>
      <c r="F38" s="34">
        <f t="shared" ref="F38:I38" si="5">F120</f>
        <v>2250</v>
      </c>
      <c r="G38" s="34">
        <f t="shared" si="5"/>
        <v>2250</v>
      </c>
      <c r="H38" s="34">
        <f t="shared" si="5"/>
        <v>2250</v>
      </c>
      <c r="I38" s="34">
        <f t="shared" si="5"/>
        <v>2250</v>
      </c>
      <c r="J38" s="7"/>
      <c r="L38" s="7"/>
      <c r="M38" s="7"/>
      <c r="N38" s="7"/>
      <c r="O38" s="7"/>
      <c r="P38" s="7"/>
      <c r="Q38" s="7"/>
      <c r="R38" s="7"/>
    </row>
    <row r="39" spans="2:18" outlineLevel="1">
      <c r="B39" s="35" t="s">
        <v>38</v>
      </c>
      <c r="C39" s="38">
        <f t="shared" ref="C39:I39" si="6">C37-C38</f>
        <v>10495.145441433608</v>
      </c>
      <c r="D39" s="38">
        <f t="shared" si="6"/>
        <v>11132.402713505282</v>
      </c>
      <c r="E39" s="38">
        <f t="shared" si="6"/>
        <v>11801.522849180554</v>
      </c>
      <c r="F39" s="38">
        <f t="shared" si="6"/>
        <v>15782.787656448378</v>
      </c>
      <c r="G39" s="38">
        <f t="shared" si="6"/>
        <v>16684.427039270806</v>
      </c>
      <c r="H39" s="38">
        <f t="shared" si="6"/>
        <v>17631.148391234339</v>
      </c>
      <c r="I39" s="38">
        <f t="shared" si="6"/>
        <v>18625.205810796062</v>
      </c>
      <c r="J39" s="7"/>
      <c r="L39" s="7"/>
      <c r="M39" s="7"/>
      <c r="N39" s="7"/>
      <c r="O39" s="7"/>
      <c r="P39" s="7"/>
      <c r="Q39" s="7"/>
      <c r="R39" s="7"/>
    </row>
    <row r="40" spans="2:18" outlineLevel="1">
      <c r="B40" s="7" t="s">
        <v>39</v>
      </c>
      <c r="C40" s="34">
        <v>2623.7863603584019</v>
      </c>
      <c r="D40" s="34">
        <v>2783.1006783763205</v>
      </c>
      <c r="E40" s="34">
        <v>2950.3807122951384</v>
      </c>
      <c r="F40" s="34">
        <f>F39*F16</f>
        <v>3945.6969141120944</v>
      </c>
      <c r="G40" s="34">
        <f>G39*G16</f>
        <v>4171.1067598177015</v>
      </c>
      <c r="H40" s="34">
        <f>H39*H16</f>
        <v>4407.7870978085848</v>
      </c>
      <c r="I40" s="34">
        <f>I39*I16</f>
        <v>4656.3014526990155</v>
      </c>
      <c r="J40" s="7"/>
      <c r="L40" s="7"/>
      <c r="M40" s="7"/>
      <c r="N40" s="7"/>
      <c r="O40" s="7"/>
      <c r="P40" s="7"/>
      <c r="Q40" s="7"/>
      <c r="R40" s="7"/>
    </row>
    <row r="41" spans="2:18" ht="17" outlineLevel="1" thickBot="1">
      <c r="B41" s="39" t="s">
        <v>40</v>
      </c>
      <c r="C41" s="40">
        <f t="shared" ref="C41:I41" si="7">C39-C40</f>
        <v>7871.3590810752057</v>
      </c>
      <c r="D41" s="40">
        <f t="shared" si="7"/>
        <v>8349.3020351289615</v>
      </c>
      <c r="E41" s="40">
        <f t="shared" si="7"/>
        <v>8851.1421368854153</v>
      </c>
      <c r="F41" s="40">
        <f t="shared" si="7"/>
        <v>11837.090742336284</v>
      </c>
      <c r="G41" s="40">
        <f t="shared" si="7"/>
        <v>12513.320279453104</v>
      </c>
      <c r="H41" s="40">
        <f t="shared" si="7"/>
        <v>13223.361293425754</v>
      </c>
      <c r="I41" s="40">
        <f t="shared" si="7"/>
        <v>13968.904358097046</v>
      </c>
      <c r="J41" s="7"/>
      <c r="L41" s="7"/>
      <c r="M41" s="7"/>
      <c r="N41" s="7"/>
      <c r="O41" s="7"/>
      <c r="P41" s="7"/>
      <c r="Q41" s="7"/>
      <c r="R41" s="7"/>
    </row>
    <row r="42" spans="2:18" ht="17" outlineLevel="1" thickTop="1">
      <c r="B42" s="20"/>
      <c r="C42" s="36"/>
      <c r="D42" s="36"/>
      <c r="E42" s="36"/>
      <c r="F42" s="36"/>
      <c r="G42" s="36"/>
      <c r="H42" s="36"/>
      <c r="I42" s="36"/>
      <c r="J42" s="7"/>
      <c r="L42" s="7"/>
      <c r="M42" s="7"/>
      <c r="N42" s="7"/>
      <c r="O42" s="7"/>
      <c r="P42" s="7"/>
      <c r="Q42" s="7"/>
      <c r="R42" s="7"/>
    </row>
    <row r="43" spans="2:18" outlineLevel="1">
      <c r="B43" s="7" t="s">
        <v>41</v>
      </c>
      <c r="C43" s="21">
        <f>C26*C41</f>
        <v>5116.3834026988843</v>
      </c>
      <c r="D43" s="21">
        <f>D26*D41</f>
        <v>5427.0463228338249</v>
      </c>
      <c r="E43" s="21">
        <f>E26*E41</f>
        <v>5753.24238897552</v>
      </c>
      <c r="F43" s="21">
        <f>F26*F41</f>
        <v>7694.1089825185845</v>
      </c>
      <c r="G43" s="21">
        <f>G26*G41</f>
        <v>8133.6581816445178</v>
      </c>
      <c r="H43" s="21">
        <f>H26*H41</f>
        <v>8595.1848407267407</v>
      </c>
      <c r="I43" s="21">
        <f>I26*I41</f>
        <v>9079.7878327630806</v>
      </c>
      <c r="J43" s="7"/>
      <c r="L43" s="7"/>
      <c r="M43" s="7"/>
      <c r="N43" s="7"/>
      <c r="O43" s="7"/>
      <c r="P43" s="7"/>
      <c r="Q43" s="7"/>
      <c r="R43" s="7"/>
    </row>
    <row r="44" spans="2:18">
      <c r="B44" s="7"/>
      <c r="C44" s="21"/>
      <c r="D44" s="21"/>
      <c r="E44" s="21"/>
      <c r="F44" s="21"/>
      <c r="G44" s="21"/>
      <c r="H44" s="21"/>
      <c r="I44" s="21"/>
      <c r="J44" s="7"/>
      <c r="L44" s="7"/>
      <c r="M44" s="7"/>
      <c r="N44" s="7"/>
      <c r="O44" s="7"/>
      <c r="P44" s="7"/>
      <c r="Q44" s="7"/>
      <c r="R44" s="7"/>
    </row>
    <row r="45" spans="2:18" ht="17">
      <c r="B45" s="17" t="s">
        <v>19</v>
      </c>
      <c r="C45" s="10">
        <v>2018</v>
      </c>
      <c r="D45" s="10">
        <v>2019</v>
      </c>
      <c r="E45" s="10">
        <v>2020</v>
      </c>
      <c r="F45" s="11">
        <v>2021</v>
      </c>
      <c r="G45" s="11">
        <v>2022</v>
      </c>
      <c r="H45" s="11">
        <v>2023</v>
      </c>
      <c r="I45" s="11">
        <v>2024</v>
      </c>
      <c r="J45" s="7"/>
      <c r="L45" s="41"/>
      <c r="M45" s="41"/>
      <c r="N45" s="41"/>
      <c r="O45" s="41"/>
      <c r="P45" s="41"/>
      <c r="Q45" s="41"/>
      <c r="R45" s="41"/>
    </row>
    <row r="46" spans="2:18" outlineLevel="1">
      <c r="B46" s="20"/>
      <c r="C46" s="21"/>
      <c r="D46" s="21"/>
      <c r="E46" s="21"/>
      <c r="F46" s="21"/>
      <c r="G46" s="21"/>
      <c r="H46" s="21"/>
      <c r="I46" s="21"/>
      <c r="J46" s="7"/>
      <c r="L46" s="7"/>
      <c r="M46" s="7"/>
      <c r="N46" s="7"/>
      <c r="O46" s="7"/>
      <c r="P46" s="7"/>
      <c r="Q46" s="7"/>
      <c r="R46" s="7"/>
    </row>
    <row r="47" spans="2:18" outlineLevel="1">
      <c r="B47" s="20" t="s">
        <v>42</v>
      </c>
      <c r="C47" s="21"/>
      <c r="D47" s="21"/>
      <c r="E47" s="21"/>
      <c r="F47" s="21"/>
      <c r="G47" s="21"/>
      <c r="H47" s="21"/>
      <c r="I47" s="21"/>
      <c r="J47" s="7"/>
      <c r="L47" s="7"/>
      <c r="M47" s="7"/>
      <c r="N47" s="7"/>
      <c r="O47" s="7"/>
      <c r="P47" s="7"/>
      <c r="Q47" s="7"/>
      <c r="R47" s="7"/>
    </row>
    <row r="48" spans="2:18" outlineLevel="1">
      <c r="B48" s="42" t="s">
        <v>43</v>
      </c>
      <c r="C48" s="43"/>
      <c r="D48" s="43"/>
      <c r="E48" s="43"/>
      <c r="F48" s="43"/>
      <c r="G48" s="43"/>
      <c r="H48" s="21"/>
      <c r="I48" s="21"/>
      <c r="J48" s="7"/>
      <c r="L48" s="7"/>
      <c r="M48" s="7"/>
      <c r="N48" s="7"/>
      <c r="O48" s="7"/>
      <c r="P48" s="7"/>
      <c r="Q48" s="7"/>
      <c r="R48" s="7"/>
    </row>
    <row r="49" spans="2:18" outlineLevel="1">
      <c r="B49" s="44" t="s">
        <v>44</v>
      </c>
      <c r="C49" s="43">
        <v>31350.384635136674</v>
      </c>
      <c r="D49" s="43">
        <v>31403.139717756218</v>
      </c>
      <c r="E49" s="43">
        <v>31488.063804506746</v>
      </c>
      <c r="F49" s="43">
        <f t="shared" ref="F49:I49" si="8">F97</f>
        <v>32631.355553347559</v>
      </c>
      <c r="G49" s="43">
        <f t="shared" si="8"/>
        <v>33697.408706389964</v>
      </c>
      <c r="H49" s="21">
        <f t="shared" si="8"/>
        <v>34846.295767084492</v>
      </c>
      <c r="I49" s="21">
        <f t="shared" si="8"/>
        <v>36082.158430813746</v>
      </c>
      <c r="J49" s="7"/>
      <c r="L49" s="7"/>
      <c r="M49" s="7"/>
      <c r="N49" s="7"/>
      <c r="O49" s="7"/>
      <c r="P49" s="7"/>
      <c r="Q49" s="7"/>
      <c r="R49" s="7"/>
    </row>
    <row r="50" spans="2:18" outlineLevel="1">
      <c r="B50" s="44" t="s">
        <v>45</v>
      </c>
      <c r="C50" s="43">
        <v>12415.362378261041</v>
      </c>
      <c r="D50" s="43">
        <v>13036.130497174096</v>
      </c>
      <c r="E50" s="43">
        <v>13687.9370220328</v>
      </c>
      <c r="F50" s="43">
        <f>F20*F30/F5</f>
        <v>14372.333873134441</v>
      </c>
      <c r="G50" s="43">
        <f>G20*G30/G5</f>
        <v>15090.950566791164</v>
      </c>
      <c r="H50" s="21">
        <f>H20*H30/H5</f>
        <v>15845.498095130724</v>
      </c>
      <c r="I50" s="21">
        <f>I20*I30/I5</f>
        <v>16637.77299988726</v>
      </c>
      <c r="J50" s="7"/>
      <c r="L50" s="7"/>
      <c r="M50" s="7"/>
      <c r="N50" s="7"/>
      <c r="O50" s="7"/>
      <c r="P50" s="7"/>
      <c r="Q50" s="7"/>
      <c r="R50" s="7"/>
    </row>
    <row r="51" spans="2:18" outlineLevel="1">
      <c r="B51" s="44" t="s">
        <v>46</v>
      </c>
      <c r="C51" s="43">
        <v>9505.5118208561089</v>
      </c>
      <c r="D51" s="43">
        <v>9980.7874118989166</v>
      </c>
      <c r="E51" s="43">
        <v>10479.826782493863</v>
      </c>
      <c r="F51" s="43">
        <f>F21*F31/F5</f>
        <v>11003.818121618555</v>
      </c>
      <c r="G51" s="43">
        <f>G21*G31/G5</f>
        <v>11554.009027699483</v>
      </c>
      <c r="H51" s="43">
        <f>H21*H31/H5</f>
        <v>12131.70947908446</v>
      </c>
      <c r="I51" s="43">
        <f>I21*I31/I5</f>
        <v>12738.294953038681</v>
      </c>
      <c r="J51" s="7"/>
      <c r="L51" s="7"/>
      <c r="M51" s="7"/>
      <c r="N51" s="7"/>
      <c r="O51" s="7"/>
      <c r="P51" s="7"/>
      <c r="Q51" s="7"/>
      <c r="R51" s="7"/>
    </row>
    <row r="52" spans="2:18" outlineLevel="1">
      <c r="B52" s="44" t="s">
        <v>47</v>
      </c>
      <c r="C52" s="45">
        <f t="shared" ref="C52:E52" si="9">SUM(C49:C51)</f>
        <v>53271.258834253829</v>
      </c>
      <c r="D52" s="45">
        <f t="shared" si="9"/>
        <v>54420.057626829235</v>
      </c>
      <c r="E52" s="45">
        <f t="shared" si="9"/>
        <v>55655.827609033411</v>
      </c>
      <c r="F52" s="45">
        <f t="shared" ref="F52:I52" si="10">SUM(F49:F51)</f>
        <v>58007.507548100555</v>
      </c>
      <c r="G52" s="45">
        <f t="shared" si="10"/>
        <v>60342.368300880611</v>
      </c>
      <c r="H52" s="45">
        <f t="shared" si="10"/>
        <v>62823.503341299671</v>
      </c>
      <c r="I52" s="45">
        <f t="shared" si="10"/>
        <v>65458.226383739689</v>
      </c>
      <c r="J52" s="7"/>
      <c r="L52" s="7"/>
      <c r="M52" s="7"/>
      <c r="N52" s="7"/>
      <c r="O52" s="7"/>
      <c r="P52" s="7"/>
      <c r="Q52" s="7"/>
      <c r="R52" s="7"/>
    </row>
    <row r="53" spans="2:18" outlineLevel="1">
      <c r="B53" s="42" t="s">
        <v>48</v>
      </c>
      <c r="C53" s="43"/>
      <c r="D53" s="43"/>
      <c r="E53" s="43"/>
      <c r="F53" s="43"/>
      <c r="G53" s="43"/>
      <c r="H53" s="21"/>
      <c r="I53" s="21"/>
      <c r="J53" s="7"/>
      <c r="L53" s="7"/>
      <c r="M53" s="7"/>
      <c r="N53" s="7"/>
      <c r="O53" s="7"/>
      <c r="P53" s="7"/>
      <c r="Q53" s="7"/>
      <c r="R53" s="7"/>
    </row>
    <row r="54" spans="2:18" outlineLevel="1">
      <c r="B54" s="44" t="s">
        <v>49</v>
      </c>
      <c r="C54" s="43">
        <v>44253.977227199997</v>
      </c>
      <c r="D54" s="43">
        <v>46466.676088560002</v>
      </c>
      <c r="E54" s="43">
        <v>48790.009892988004</v>
      </c>
      <c r="F54" s="43">
        <f t="shared" ref="F54:I54" si="11">F106</f>
        <v>51229.510387637405</v>
      </c>
      <c r="G54" s="43">
        <f t="shared" si="11"/>
        <v>53790.985907019283</v>
      </c>
      <c r="H54" s="21">
        <f t="shared" si="11"/>
        <v>56480.535202370251</v>
      </c>
      <c r="I54" s="21">
        <f t="shared" si="11"/>
        <v>59304.561962488769</v>
      </c>
      <c r="J54" s="7"/>
      <c r="L54" s="7"/>
      <c r="M54" s="7"/>
      <c r="N54" s="7"/>
      <c r="O54" s="7"/>
      <c r="P54" s="7"/>
      <c r="Q54" s="7"/>
      <c r="R54" s="7"/>
    </row>
    <row r="55" spans="2:18" outlineLevel="1">
      <c r="B55" s="35" t="s">
        <v>50</v>
      </c>
      <c r="C55" s="37">
        <f t="shared" ref="C55:I55" si="12">SUM(C52:C54)</f>
        <v>97525.236061453819</v>
      </c>
      <c r="D55" s="37">
        <f t="shared" si="12"/>
        <v>100886.73371538924</v>
      </c>
      <c r="E55" s="37">
        <f t="shared" si="12"/>
        <v>104445.83750202142</v>
      </c>
      <c r="F55" s="37">
        <f t="shared" si="12"/>
        <v>109237.01793573797</v>
      </c>
      <c r="G55" s="37">
        <f t="shared" si="12"/>
        <v>114133.35420789989</v>
      </c>
      <c r="H55" s="37">
        <f t="shared" si="12"/>
        <v>119304.03854366991</v>
      </c>
      <c r="I55" s="37">
        <f t="shared" si="12"/>
        <v>124762.78834622845</v>
      </c>
      <c r="J55" s="7"/>
      <c r="L55" s="7"/>
      <c r="M55" s="7"/>
      <c r="N55" s="7"/>
      <c r="O55" s="7"/>
      <c r="P55" s="7"/>
      <c r="Q55" s="7"/>
      <c r="R55" s="7"/>
    </row>
    <row r="56" spans="2:18" outlineLevel="1">
      <c r="B56" s="7"/>
      <c r="C56" s="21"/>
      <c r="D56" s="21"/>
      <c r="E56" s="21"/>
      <c r="F56" s="21"/>
      <c r="G56" s="21"/>
      <c r="H56" s="21"/>
      <c r="I56" s="21"/>
      <c r="J56" s="7"/>
      <c r="L56" s="7"/>
      <c r="M56" s="7"/>
      <c r="N56" s="7"/>
      <c r="O56" s="7"/>
      <c r="P56" s="7"/>
      <c r="Q56" s="7"/>
      <c r="R56" s="7"/>
    </row>
    <row r="57" spans="2:18" outlineLevel="1">
      <c r="B57" s="46" t="s">
        <v>51</v>
      </c>
      <c r="C57" s="43"/>
      <c r="D57" s="43"/>
      <c r="E57" s="43"/>
      <c r="F57" s="43"/>
      <c r="G57" s="43"/>
      <c r="H57" s="21"/>
      <c r="I57" s="21"/>
      <c r="J57" s="7"/>
      <c r="L57" s="7"/>
      <c r="M57" s="7"/>
      <c r="N57" s="7"/>
      <c r="O57" s="7"/>
      <c r="P57" s="7"/>
      <c r="Q57" s="7"/>
      <c r="R57" s="7"/>
    </row>
    <row r="58" spans="2:18" outlineLevel="1">
      <c r="B58" s="42" t="s">
        <v>52</v>
      </c>
      <c r="C58" s="43"/>
      <c r="D58" s="43"/>
      <c r="E58" s="43"/>
      <c r="F58" s="43"/>
      <c r="G58" s="43"/>
      <c r="H58" s="21"/>
      <c r="I58" s="21"/>
      <c r="J58" s="7"/>
      <c r="L58" s="7"/>
      <c r="M58" s="7"/>
      <c r="N58" s="7"/>
      <c r="O58" s="7"/>
      <c r="P58" s="7"/>
      <c r="Q58" s="7"/>
      <c r="R58" s="7"/>
    </row>
    <row r="59" spans="2:18" outlineLevel="1">
      <c r="B59" s="44" t="s">
        <v>53</v>
      </c>
      <c r="C59" s="43">
        <v>8147.5815607338081</v>
      </c>
      <c r="D59" s="43">
        <v>8554.9606387704989</v>
      </c>
      <c r="E59" s="43">
        <v>8982.7086707090239</v>
      </c>
      <c r="F59" s="43">
        <f>F22*F31/F5</f>
        <v>9431.8441042444756</v>
      </c>
      <c r="G59" s="43">
        <f>G22*G31/G5</f>
        <v>9903.4363094566997</v>
      </c>
      <c r="H59" s="21">
        <f>H22*H31/H5</f>
        <v>10398.608124929537</v>
      </c>
      <c r="I59" s="21">
        <f>I22*I31/I5</f>
        <v>10918.538531176013</v>
      </c>
      <c r="J59" s="7"/>
      <c r="L59" s="7"/>
      <c r="M59" s="7"/>
      <c r="N59" s="7"/>
      <c r="O59" s="7"/>
      <c r="P59" s="7"/>
      <c r="Q59" s="7"/>
      <c r="R59" s="7"/>
    </row>
    <row r="60" spans="2:18" outlineLevel="1">
      <c r="B60" s="44" t="s">
        <v>54</v>
      </c>
      <c r="C60" s="43">
        <v>524.7572720716804</v>
      </c>
      <c r="D60" s="43">
        <v>556.62013567526412</v>
      </c>
      <c r="E60" s="43">
        <v>590.07614245902766</v>
      </c>
      <c r="F60" s="43">
        <f>F23*F40</f>
        <v>789.13938282241895</v>
      </c>
      <c r="G60" s="43">
        <f>G23*G40</f>
        <v>834.22135196354031</v>
      </c>
      <c r="H60" s="21">
        <f>H23*H40</f>
        <v>881.55741956171698</v>
      </c>
      <c r="I60" s="21">
        <f>I23*I40</f>
        <v>931.26029053980312</v>
      </c>
      <c r="J60" s="7"/>
      <c r="L60" s="7"/>
      <c r="M60" s="7"/>
      <c r="N60" s="7"/>
      <c r="O60" s="7"/>
      <c r="P60" s="7"/>
      <c r="Q60" s="7"/>
      <c r="R60" s="7"/>
    </row>
    <row r="61" spans="2:18" outlineLevel="1">
      <c r="B61" s="44" t="s">
        <v>55</v>
      </c>
      <c r="C61" s="45">
        <f t="shared" ref="C61:E61" si="13">SUM(C59:C60)</f>
        <v>8672.338832805488</v>
      </c>
      <c r="D61" s="45">
        <f t="shared" si="13"/>
        <v>9111.5807744457634</v>
      </c>
      <c r="E61" s="45">
        <f t="shared" si="13"/>
        <v>9572.7848131680512</v>
      </c>
      <c r="F61" s="45">
        <f t="shared" ref="F61:I61" si="14">SUM(F59:F60)</f>
        <v>10220.983487066895</v>
      </c>
      <c r="G61" s="45">
        <f t="shared" si="14"/>
        <v>10737.65766142024</v>
      </c>
      <c r="H61" s="45">
        <f t="shared" si="14"/>
        <v>11280.165544491254</v>
      </c>
      <c r="I61" s="45">
        <f t="shared" si="14"/>
        <v>11849.798821715816</v>
      </c>
      <c r="J61" s="7"/>
      <c r="L61" s="7"/>
      <c r="M61" s="7"/>
      <c r="N61" s="7"/>
      <c r="O61" s="7"/>
      <c r="P61" s="7"/>
      <c r="Q61" s="7"/>
      <c r="R61" s="7"/>
    </row>
    <row r="62" spans="2:18" outlineLevel="1">
      <c r="B62" s="42" t="s">
        <v>56</v>
      </c>
      <c r="C62" s="43"/>
      <c r="D62" s="43"/>
      <c r="E62" s="43"/>
      <c r="F62" s="43"/>
      <c r="G62" s="43"/>
      <c r="H62" s="21"/>
      <c r="I62" s="21"/>
      <c r="J62" s="7"/>
      <c r="L62" s="7"/>
      <c r="M62" s="7"/>
      <c r="N62" s="7"/>
      <c r="O62" s="7"/>
      <c r="P62" s="7"/>
      <c r="Q62" s="7"/>
      <c r="R62" s="7"/>
    </row>
    <row r="63" spans="2:18" outlineLevel="1">
      <c r="B63" s="44" t="s">
        <v>57</v>
      </c>
      <c r="C63" s="43">
        <v>45000</v>
      </c>
      <c r="D63" s="43">
        <v>45000</v>
      </c>
      <c r="E63" s="43">
        <v>45000</v>
      </c>
      <c r="F63" s="43">
        <f t="shared" ref="F63:I63" si="15">F117</f>
        <v>45000</v>
      </c>
      <c r="G63" s="43">
        <f t="shared" si="15"/>
        <v>45000</v>
      </c>
      <c r="H63" s="21">
        <f t="shared" si="15"/>
        <v>45000</v>
      </c>
      <c r="I63" s="21">
        <f t="shared" si="15"/>
        <v>45000</v>
      </c>
      <c r="J63" s="7"/>
      <c r="L63" s="7"/>
      <c r="M63" s="7"/>
      <c r="N63" s="7"/>
      <c r="O63" s="7"/>
      <c r="P63" s="7"/>
      <c r="Q63" s="7"/>
      <c r="R63" s="7"/>
    </row>
    <row r="64" spans="2:18" outlineLevel="1">
      <c r="B64" s="47" t="s">
        <v>58</v>
      </c>
      <c r="C64" s="48">
        <f t="shared" ref="C64:I64" si="16">C61+C63</f>
        <v>53672.338832805486</v>
      </c>
      <c r="D64" s="48">
        <f t="shared" si="16"/>
        <v>54111.580774445763</v>
      </c>
      <c r="E64" s="48">
        <f t="shared" si="16"/>
        <v>54572.784813168051</v>
      </c>
      <c r="F64" s="48">
        <f t="shared" si="16"/>
        <v>55220.983487066893</v>
      </c>
      <c r="G64" s="48">
        <f t="shared" si="16"/>
        <v>55737.657661420242</v>
      </c>
      <c r="H64" s="48">
        <f t="shared" si="16"/>
        <v>56280.165544491254</v>
      </c>
      <c r="I64" s="48">
        <f t="shared" si="16"/>
        <v>56849.798821715813</v>
      </c>
      <c r="J64" s="49"/>
      <c r="L64" s="7"/>
      <c r="M64" s="7"/>
      <c r="N64" s="7"/>
      <c r="O64" s="7"/>
      <c r="P64" s="7"/>
      <c r="Q64" s="7"/>
      <c r="R64" s="7"/>
    </row>
    <row r="65" spans="2:18" outlineLevel="1">
      <c r="B65" s="46" t="s">
        <v>59</v>
      </c>
      <c r="C65" s="43"/>
      <c r="D65" s="43"/>
      <c r="E65" s="43"/>
      <c r="F65" s="43"/>
      <c r="G65" s="43"/>
      <c r="H65" s="21"/>
      <c r="I65" s="21"/>
      <c r="J65" s="7"/>
      <c r="K65" s="50">
        <f>I69-I55</f>
        <v>0</v>
      </c>
      <c r="L65" s="7"/>
      <c r="M65" s="7"/>
      <c r="N65" s="7"/>
      <c r="O65" s="7"/>
      <c r="P65" s="7"/>
      <c r="Q65" s="7"/>
      <c r="R65" s="7"/>
    </row>
    <row r="66" spans="2:18" outlineLevel="1">
      <c r="B66" s="44" t="s">
        <v>60</v>
      </c>
      <c r="C66" s="43">
        <v>20000</v>
      </c>
      <c r="D66" s="43">
        <v>20000</v>
      </c>
      <c r="E66" s="43">
        <v>20000</v>
      </c>
      <c r="F66" s="43">
        <f>F25</f>
        <v>20000</v>
      </c>
      <c r="G66" s="43">
        <f>G25</f>
        <v>20000</v>
      </c>
      <c r="H66" s="21">
        <f>H25</f>
        <v>20000</v>
      </c>
      <c r="I66" s="21">
        <f>I25</f>
        <v>20000</v>
      </c>
      <c r="J66" s="7"/>
      <c r="L66" s="7"/>
      <c r="M66" s="7"/>
      <c r="N66" s="7"/>
      <c r="O66" s="7"/>
      <c r="P66" s="7"/>
      <c r="Q66" s="7"/>
      <c r="R66" s="7"/>
    </row>
    <row r="67" spans="2:18" outlineLevel="1">
      <c r="B67" s="44" t="s">
        <v>61</v>
      </c>
      <c r="C67" s="43">
        <v>23852.897228648329</v>
      </c>
      <c r="D67" s="43">
        <v>26775.152940943466</v>
      </c>
      <c r="E67" s="43">
        <v>29873.05268885336</v>
      </c>
      <c r="F67" s="43">
        <f t="shared" ref="F67:I67" si="17">F112</f>
        <v>34016.03444867106</v>
      </c>
      <c r="G67" s="43">
        <f t="shared" si="17"/>
        <v>38395.696546479645</v>
      </c>
      <c r="H67" s="21">
        <f t="shared" si="17"/>
        <v>43023.87299917866</v>
      </c>
      <c r="I67" s="21">
        <f t="shared" si="17"/>
        <v>47912.989524512624</v>
      </c>
      <c r="J67" s="7"/>
      <c r="L67" s="7"/>
      <c r="M67" s="7"/>
      <c r="N67" s="7"/>
      <c r="O67" s="7"/>
      <c r="P67" s="7"/>
      <c r="Q67" s="7"/>
      <c r="R67" s="7"/>
    </row>
    <row r="68" spans="2:18" outlineLevel="1">
      <c r="B68" s="47" t="s">
        <v>62</v>
      </c>
      <c r="C68" s="51">
        <f t="shared" ref="C68:I68" si="18">SUM(C66:C67)</f>
        <v>43852.897228648333</v>
      </c>
      <c r="D68" s="51">
        <f t="shared" si="18"/>
        <v>46775.152940943466</v>
      </c>
      <c r="E68" s="51">
        <f t="shared" si="18"/>
        <v>49873.052688853364</v>
      </c>
      <c r="F68" s="51">
        <f t="shared" si="18"/>
        <v>54016.03444867106</v>
      </c>
      <c r="G68" s="51">
        <f t="shared" si="18"/>
        <v>58395.696546479645</v>
      </c>
      <c r="H68" s="51">
        <f t="shared" si="18"/>
        <v>63023.87299917866</v>
      </c>
      <c r="I68" s="51">
        <f t="shared" si="18"/>
        <v>67912.989524512624</v>
      </c>
      <c r="J68" s="7"/>
      <c r="L68" s="7"/>
      <c r="M68" s="7"/>
      <c r="N68" s="7"/>
      <c r="O68" s="7"/>
      <c r="P68" s="7"/>
      <c r="Q68" s="7"/>
      <c r="R68" s="7"/>
    </row>
    <row r="69" spans="2:18" outlineLevel="1">
      <c r="B69" s="46" t="s">
        <v>63</v>
      </c>
      <c r="C69" s="52">
        <f t="shared" ref="C69:I69" si="19">C68+C63+C61</f>
        <v>97525.236061453819</v>
      </c>
      <c r="D69" s="52">
        <f t="shared" si="19"/>
        <v>100886.73371538921</v>
      </c>
      <c r="E69" s="52">
        <f t="shared" si="19"/>
        <v>104445.83750202142</v>
      </c>
      <c r="F69" s="52">
        <f t="shared" si="19"/>
        <v>109237.01793573797</v>
      </c>
      <c r="G69" s="52">
        <f t="shared" si="19"/>
        <v>114133.35420789989</v>
      </c>
      <c r="H69" s="52">
        <f t="shared" si="19"/>
        <v>119304.03854366991</v>
      </c>
      <c r="I69" s="52">
        <f t="shared" si="19"/>
        <v>124762.78834622844</v>
      </c>
      <c r="J69" s="7"/>
      <c r="L69" s="7"/>
      <c r="M69" s="7"/>
      <c r="N69" s="7"/>
      <c r="O69" s="7"/>
      <c r="P69" s="7"/>
      <c r="Q69" s="7"/>
      <c r="R69" s="7"/>
    </row>
    <row r="70" spans="2:18" outlineLevel="1">
      <c r="B70" s="7"/>
      <c r="C70" s="21"/>
      <c r="D70" s="21"/>
      <c r="E70" s="21"/>
      <c r="F70" s="21"/>
      <c r="G70" s="21"/>
      <c r="H70" s="21"/>
      <c r="I70" s="21"/>
      <c r="J70" s="7"/>
      <c r="L70" s="7"/>
      <c r="M70" s="7"/>
      <c r="N70" s="7"/>
      <c r="O70" s="7"/>
      <c r="P70" s="7"/>
      <c r="Q70" s="7"/>
      <c r="R70" s="7"/>
    </row>
    <row r="71" spans="2:18" outlineLevel="1">
      <c r="B71" s="53" t="s">
        <v>64</v>
      </c>
      <c r="C71" s="54">
        <f t="shared" ref="C71:I71" si="20">C49-C97</f>
        <v>0</v>
      </c>
      <c r="D71" s="54">
        <f t="shared" si="20"/>
        <v>0</v>
      </c>
      <c r="E71" s="54">
        <f t="shared" si="20"/>
        <v>0</v>
      </c>
      <c r="F71" s="54">
        <f t="shared" si="20"/>
        <v>0</v>
      </c>
      <c r="G71" s="54">
        <f t="shared" si="20"/>
        <v>0</v>
      </c>
      <c r="H71" s="54">
        <f t="shared" si="20"/>
        <v>0</v>
      </c>
      <c r="I71" s="54">
        <f t="shared" si="20"/>
        <v>0</v>
      </c>
      <c r="J71" s="7"/>
      <c r="L71" s="7"/>
      <c r="M71" s="7"/>
      <c r="N71" s="7"/>
      <c r="O71" s="7"/>
      <c r="P71" s="7"/>
      <c r="Q71" s="7"/>
      <c r="R71" s="7"/>
    </row>
    <row r="72" spans="2:18">
      <c r="B72" s="7"/>
      <c r="C72" s="21"/>
      <c r="D72" s="21"/>
      <c r="E72" s="21"/>
      <c r="F72" s="21"/>
      <c r="G72" s="21"/>
      <c r="H72" s="21"/>
      <c r="I72" s="21"/>
      <c r="J72" s="7"/>
      <c r="L72" s="7"/>
      <c r="M72" s="7"/>
      <c r="N72" s="7"/>
      <c r="O72" s="7"/>
      <c r="P72" s="7"/>
      <c r="Q72" s="7"/>
      <c r="R72" s="7"/>
    </row>
    <row r="73" spans="2:18" ht="17">
      <c r="B73" s="17" t="s">
        <v>65</v>
      </c>
      <c r="C73" s="10">
        <v>2018</v>
      </c>
      <c r="D73" s="10">
        <v>2019</v>
      </c>
      <c r="E73" s="10">
        <v>2020</v>
      </c>
      <c r="F73" s="11">
        <v>2021</v>
      </c>
      <c r="G73" s="11">
        <v>2022</v>
      </c>
      <c r="H73" s="11">
        <v>2023</v>
      </c>
      <c r="I73" s="11">
        <v>2024</v>
      </c>
      <c r="J73" s="7"/>
      <c r="L73" s="41"/>
      <c r="M73" s="41"/>
      <c r="N73" s="41"/>
      <c r="O73" s="41"/>
      <c r="P73" s="41"/>
      <c r="Q73" s="41"/>
      <c r="R73" s="41"/>
    </row>
    <row r="74" spans="2:18" outlineLevel="1">
      <c r="B74" s="20"/>
      <c r="C74" s="21"/>
      <c r="D74" s="21"/>
      <c r="E74" s="21"/>
      <c r="F74" s="21"/>
      <c r="G74" s="21"/>
      <c r="H74" s="21"/>
      <c r="I74" s="21"/>
      <c r="J74" s="7"/>
      <c r="L74" s="7"/>
      <c r="M74" s="7"/>
      <c r="N74" s="7"/>
      <c r="O74" s="7"/>
      <c r="P74" s="7"/>
      <c r="Q74" s="7"/>
      <c r="R74" s="7"/>
    </row>
    <row r="75" spans="2:18" outlineLevel="1">
      <c r="B75" s="20" t="s">
        <v>66</v>
      </c>
      <c r="C75" s="55"/>
      <c r="D75" s="55"/>
      <c r="E75" s="55"/>
      <c r="F75" s="55"/>
      <c r="G75" s="55"/>
      <c r="H75" s="55"/>
      <c r="I75" s="55"/>
      <c r="J75" s="7"/>
      <c r="L75" s="7"/>
      <c r="M75" s="7"/>
      <c r="N75" s="7"/>
      <c r="O75" s="7"/>
      <c r="P75" s="7"/>
      <c r="Q75" s="7"/>
      <c r="R75" s="7"/>
    </row>
    <row r="76" spans="2:18" outlineLevel="1">
      <c r="B76" s="7" t="s">
        <v>40</v>
      </c>
      <c r="C76" s="21">
        <v>7871.3590810752057</v>
      </c>
      <c r="D76" s="21">
        <v>8349.3020351289615</v>
      </c>
      <c r="E76" s="21">
        <v>8851.1421368854153</v>
      </c>
      <c r="F76" s="21">
        <f>F41</f>
        <v>11837.090742336284</v>
      </c>
      <c r="G76" s="21">
        <f>G41</f>
        <v>12513.320279453104</v>
      </c>
      <c r="H76" s="21">
        <f>H41</f>
        <v>13223.361293425754</v>
      </c>
      <c r="I76" s="21">
        <f>I41</f>
        <v>13968.904358097046</v>
      </c>
      <c r="J76" s="7"/>
      <c r="L76" s="7"/>
      <c r="M76" s="7"/>
      <c r="N76" s="7"/>
      <c r="O76" s="7"/>
      <c r="P76" s="7"/>
      <c r="Q76" s="7"/>
      <c r="R76" s="7"/>
    </row>
    <row r="77" spans="2:18" outlineLevel="1">
      <c r="B77" s="7" t="s">
        <v>67</v>
      </c>
      <c r="C77" s="21">
        <v>4248.3818138112001</v>
      </c>
      <c r="D77" s="21">
        <v>4460.8009045017607</v>
      </c>
      <c r="E77" s="21">
        <v>4683.8409497268485</v>
      </c>
      <c r="F77" s="21">
        <f t="shared" ref="F77:I77" si="21">F105</f>
        <v>4918.0329972131913</v>
      </c>
      <c r="G77" s="21">
        <f t="shared" si="21"/>
        <v>5163.934647073851</v>
      </c>
      <c r="H77" s="21">
        <f t="shared" si="21"/>
        <v>5422.1313794275447</v>
      </c>
      <c r="I77" s="21">
        <f t="shared" si="21"/>
        <v>5693.2379483989216</v>
      </c>
      <c r="J77" s="7"/>
      <c r="L77" s="7"/>
      <c r="M77" s="7"/>
      <c r="N77" s="7"/>
      <c r="O77" s="7"/>
      <c r="P77" s="7"/>
      <c r="Q77" s="7"/>
      <c r="R77" s="7"/>
    </row>
    <row r="78" spans="2:18" outlineLevel="1">
      <c r="B78" s="7" t="s">
        <v>68</v>
      </c>
      <c r="C78" s="21"/>
      <c r="D78" s="21"/>
      <c r="E78" s="21"/>
      <c r="F78" s="21"/>
      <c r="G78" s="21"/>
      <c r="H78" s="21"/>
      <c r="I78" s="21"/>
      <c r="J78" s="7"/>
      <c r="L78" s="7"/>
      <c r="M78" s="7"/>
      <c r="N78" s="7"/>
      <c r="O78" s="7"/>
      <c r="P78" s="7"/>
      <c r="Q78" s="7"/>
      <c r="R78" s="7"/>
    </row>
    <row r="79" spans="2:18" outlineLevel="1">
      <c r="B79" s="56" t="s">
        <v>45</v>
      </c>
      <c r="C79" s="21">
        <v>-702.75636103364377</v>
      </c>
      <c r="D79" s="21">
        <v>-620.76811891305442</v>
      </c>
      <c r="E79" s="21">
        <v>-651.80652485870451</v>
      </c>
      <c r="F79" s="21">
        <f t="shared" ref="F79:I80" si="22">-(F50-E50)</f>
        <v>-684.396851101641</v>
      </c>
      <c r="G79" s="21">
        <f t="shared" si="22"/>
        <v>-718.61669365672242</v>
      </c>
      <c r="H79" s="21">
        <f t="shared" si="22"/>
        <v>-754.54752833956081</v>
      </c>
      <c r="I79" s="21">
        <f t="shared" si="22"/>
        <v>-792.27490475653576</v>
      </c>
      <c r="J79" s="7"/>
      <c r="L79" s="7"/>
      <c r="M79" s="7"/>
      <c r="N79" s="7"/>
      <c r="O79" s="7"/>
      <c r="P79" s="7"/>
      <c r="Q79" s="7"/>
      <c r="R79" s="7"/>
    </row>
    <row r="80" spans="2:18" outlineLevel="1">
      <c r="B80" s="56" t="s">
        <v>46</v>
      </c>
      <c r="C80" s="21">
        <v>-538.04783891638363</v>
      </c>
      <c r="D80" s="21">
        <v>-475.27559104280772</v>
      </c>
      <c r="E80" s="21">
        <v>-499.03937059494638</v>
      </c>
      <c r="F80" s="21">
        <f t="shared" si="22"/>
        <v>-523.99133912469188</v>
      </c>
      <c r="G80" s="21">
        <f t="shared" si="22"/>
        <v>-550.19090608092847</v>
      </c>
      <c r="H80" s="21">
        <f t="shared" si="22"/>
        <v>-577.70045138497699</v>
      </c>
      <c r="I80" s="21">
        <f t="shared" si="22"/>
        <v>-606.58547395422102</v>
      </c>
      <c r="J80" s="7"/>
      <c r="L80" s="7"/>
      <c r="M80" s="7"/>
      <c r="N80" s="7"/>
      <c r="O80" s="7"/>
      <c r="P80" s="7"/>
      <c r="Q80" s="7"/>
      <c r="R80" s="7"/>
    </row>
    <row r="81" spans="2:18" outlineLevel="1">
      <c r="B81" s="56" t="s">
        <v>53</v>
      </c>
      <c r="C81" s="21">
        <v>461.18386192832986</v>
      </c>
      <c r="D81" s="21">
        <v>407.37907803669077</v>
      </c>
      <c r="E81" s="21">
        <v>427.74803193852495</v>
      </c>
      <c r="F81" s="21">
        <f t="shared" ref="F81:I82" si="23">(F59-E59)</f>
        <v>449.13543353545174</v>
      </c>
      <c r="G81" s="21">
        <f t="shared" si="23"/>
        <v>471.59220521222414</v>
      </c>
      <c r="H81" s="21">
        <f t="shared" si="23"/>
        <v>495.1718154728369</v>
      </c>
      <c r="I81" s="21">
        <f t="shared" si="23"/>
        <v>519.9304062464762</v>
      </c>
      <c r="J81" s="7"/>
      <c r="L81" s="7"/>
      <c r="M81" s="7"/>
      <c r="N81" s="7"/>
      <c r="O81" s="7"/>
      <c r="P81" s="7"/>
      <c r="Q81" s="7"/>
      <c r="R81" s="7"/>
    </row>
    <row r="82" spans="2:18" outlineLevel="1">
      <c r="B82" s="56" t="s">
        <v>54</v>
      </c>
      <c r="C82" s="21">
        <v>36.071166343680147</v>
      </c>
      <c r="D82" s="21">
        <v>31.862863603583719</v>
      </c>
      <c r="E82" s="21">
        <v>33.456006783763542</v>
      </c>
      <c r="F82" s="21">
        <f t="shared" si="23"/>
        <v>199.06324036339129</v>
      </c>
      <c r="G82" s="21">
        <f t="shared" si="23"/>
        <v>45.081969141121363</v>
      </c>
      <c r="H82" s="21">
        <f t="shared" si="23"/>
        <v>47.336067598176669</v>
      </c>
      <c r="I82" s="21">
        <f t="shared" si="23"/>
        <v>49.702870978086139</v>
      </c>
      <c r="J82" s="7"/>
      <c r="L82" s="7"/>
      <c r="M82" s="7"/>
      <c r="N82" s="7"/>
      <c r="O82" s="7"/>
      <c r="P82" s="7"/>
      <c r="Q82" s="7"/>
      <c r="R82" s="7"/>
    </row>
    <row r="83" spans="2:18" outlineLevel="1">
      <c r="B83" s="47" t="s">
        <v>69</v>
      </c>
      <c r="C83" s="48">
        <f t="shared" ref="C83:E83" si="24">SUM(C76:C82)</f>
        <v>11376.191723208389</v>
      </c>
      <c r="D83" s="48">
        <f t="shared" si="24"/>
        <v>12153.301171315135</v>
      </c>
      <c r="E83" s="48">
        <f t="shared" si="24"/>
        <v>12845.341229880902</v>
      </c>
      <c r="F83" s="48">
        <f t="shared" ref="F83:I83" si="25">SUM(F76:F82)</f>
        <v>16194.934223221986</v>
      </c>
      <c r="G83" s="48">
        <f t="shared" si="25"/>
        <v>16925.12150114265</v>
      </c>
      <c r="H83" s="48">
        <f t="shared" si="25"/>
        <v>17855.752576199775</v>
      </c>
      <c r="I83" s="48">
        <f t="shared" si="25"/>
        <v>18832.915205009773</v>
      </c>
      <c r="J83" s="7"/>
      <c r="L83" s="7"/>
      <c r="M83" s="7"/>
      <c r="N83" s="7"/>
      <c r="O83" s="7"/>
      <c r="P83" s="7"/>
      <c r="Q83" s="7"/>
      <c r="R83" s="7"/>
    </row>
    <row r="84" spans="2:18" outlineLevel="1">
      <c r="B84" s="7" t="s">
        <v>70</v>
      </c>
      <c r="C84" s="21"/>
      <c r="D84" s="21"/>
      <c r="E84" s="21"/>
      <c r="F84" s="21"/>
      <c r="G84" s="21"/>
      <c r="H84" s="21"/>
      <c r="I84" s="21"/>
      <c r="J84" s="7"/>
      <c r="L84" s="7"/>
      <c r="M84" s="7"/>
      <c r="N84" s="7"/>
      <c r="O84" s="7"/>
      <c r="P84" s="7"/>
      <c r="Q84" s="7"/>
      <c r="R84" s="7"/>
    </row>
    <row r="85" spans="2:18" outlineLevel="1">
      <c r="B85" s="20" t="s">
        <v>71</v>
      </c>
      <c r="C85" s="21"/>
      <c r="D85" s="21"/>
      <c r="E85" s="21"/>
      <c r="F85" s="21"/>
      <c r="G85" s="21"/>
      <c r="H85" s="21"/>
      <c r="I85" s="21"/>
      <c r="J85" s="7"/>
      <c r="L85" s="7"/>
      <c r="M85" s="7"/>
      <c r="N85" s="7"/>
      <c r="O85" s="7"/>
      <c r="P85" s="7"/>
      <c r="Q85" s="7"/>
      <c r="R85" s="7"/>
    </row>
    <row r="86" spans="2:18" outlineLevel="1">
      <c r="B86" s="7" t="s">
        <v>72</v>
      </c>
      <c r="C86" s="21">
        <v>-6753.3239210112006</v>
      </c>
      <c r="D86" s="21">
        <v>-6673.4997658617649</v>
      </c>
      <c r="E86" s="21">
        <v>-7007.1747541548539</v>
      </c>
      <c r="F86" s="21">
        <f t="shared" ref="F86:I86" si="26">-F104</f>
        <v>-7357.5334918625886</v>
      </c>
      <c r="G86" s="21">
        <f t="shared" si="26"/>
        <v>-7725.4101664557311</v>
      </c>
      <c r="H86" s="21">
        <f t="shared" si="26"/>
        <v>-8111.6806747785085</v>
      </c>
      <c r="I86" s="21">
        <f t="shared" si="26"/>
        <v>-8517.2647085174394</v>
      </c>
      <c r="J86" s="7"/>
      <c r="L86" s="7"/>
      <c r="M86" s="7"/>
      <c r="N86" s="7"/>
      <c r="O86" s="7"/>
      <c r="P86" s="7"/>
      <c r="Q86" s="7"/>
      <c r="R86" s="7"/>
    </row>
    <row r="87" spans="2:18" outlineLevel="1">
      <c r="B87" s="47" t="s">
        <v>73</v>
      </c>
      <c r="C87" s="48">
        <f t="shared" ref="C87:E87" si="27">SUM(C86)</f>
        <v>-6753.3239210112006</v>
      </c>
      <c r="D87" s="48">
        <f t="shared" si="27"/>
        <v>-6673.4997658617649</v>
      </c>
      <c r="E87" s="48">
        <f t="shared" si="27"/>
        <v>-7007.1747541548539</v>
      </c>
      <c r="F87" s="48">
        <f t="shared" ref="F87:I87" si="28">SUM(F86)</f>
        <v>-7357.5334918625886</v>
      </c>
      <c r="G87" s="48">
        <f t="shared" si="28"/>
        <v>-7725.4101664557311</v>
      </c>
      <c r="H87" s="48">
        <f t="shared" si="28"/>
        <v>-8111.6806747785085</v>
      </c>
      <c r="I87" s="48">
        <f t="shared" si="28"/>
        <v>-8517.2647085174394</v>
      </c>
      <c r="J87" s="7"/>
      <c r="L87" s="7"/>
      <c r="M87" s="7"/>
      <c r="N87" s="7"/>
      <c r="O87" s="7"/>
      <c r="P87" s="7"/>
      <c r="Q87" s="7"/>
      <c r="R87" s="7"/>
    </row>
    <row r="88" spans="2:18" outlineLevel="1">
      <c r="B88" s="7" t="s">
        <v>70</v>
      </c>
      <c r="C88" s="21"/>
      <c r="D88" s="21"/>
      <c r="E88" s="21"/>
      <c r="F88" s="21"/>
      <c r="G88" s="21"/>
      <c r="H88" s="21"/>
      <c r="I88" s="21"/>
      <c r="J88" s="7"/>
      <c r="L88" s="7"/>
      <c r="M88" s="7"/>
      <c r="N88" s="7"/>
      <c r="O88" s="7"/>
      <c r="P88" s="7"/>
      <c r="Q88" s="7"/>
      <c r="R88" s="7"/>
    </row>
    <row r="89" spans="2:18" outlineLevel="1">
      <c r="B89" s="20" t="s">
        <v>74</v>
      </c>
      <c r="C89" s="21"/>
      <c r="D89" s="21"/>
      <c r="E89" s="21"/>
      <c r="F89" s="21"/>
      <c r="G89" s="21"/>
      <c r="H89" s="21"/>
      <c r="I89" s="21"/>
      <c r="J89" s="7"/>
      <c r="L89" s="7"/>
      <c r="M89" s="7"/>
      <c r="N89" s="7"/>
      <c r="O89" s="7"/>
      <c r="P89" s="7"/>
      <c r="Q89" s="7"/>
      <c r="R89" s="7"/>
    </row>
    <row r="90" spans="2:18" outlineLevel="1">
      <c r="B90" s="7" t="s">
        <v>75</v>
      </c>
      <c r="C90" s="21">
        <v>0</v>
      </c>
      <c r="D90" s="21">
        <v>0</v>
      </c>
      <c r="E90" s="21">
        <v>0</v>
      </c>
      <c r="F90" s="21">
        <f>F66-E66</f>
        <v>0</v>
      </c>
      <c r="G90" s="21">
        <f>G66-F66</f>
        <v>0</v>
      </c>
      <c r="H90" s="21">
        <f>H66-G66</f>
        <v>0</v>
      </c>
      <c r="I90" s="21">
        <f>I66-H66</f>
        <v>0</v>
      </c>
      <c r="J90" s="7"/>
      <c r="L90" s="7"/>
      <c r="M90" s="7"/>
      <c r="N90" s="7"/>
      <c r="O90" s="7"/>
      <c r="P90" s="7"/>
      <c r="Q90" s="7"/>
      <c r="R90" s="7"/>
    </row>
    <row r="91" spans="2:18" outlineLevel="1">
      <c r="B91" s="7" t="s">
        <v>76</v>
      </c>
      <c r="C91" s="21">
        <v>-5116.3834026988843</v>
      </c>
      <c r="D91" s="21">
        <v>-5427.0463228338249</v>
      </c>
      <c r="E91" s="21">
        <v>-5753.24238897552</v>
      </c>
      <c r="F91" s="21">
        <f>-F43</f>
        <v>-7694.1089825185845</v>
      </c>
      <c r="G91" s="21">
        <f>-G43</f>
        <v>-8133.6581816445178</v>
      </c>
      <c r="H91" s="21">
        <f>-H43</f>
        <v>-8595.1848407267407</v>
      </c>
      <c r="I91" s="21">
        <f>-I43</f>
        <v>-9079.7878327630806</v>
      </c>
      <c r="J91" s="7"/>
      <c r="L91" s="7"/>
      <c r="M91" s="7"/>
      <c r="N91" s="7"/>
      <c r="O91" s="7"/>
      <c r="P91" s="7"/>
      <c r="Q91" s="7"/>
      <c r="R91" s="7"/>
    </row>
    <row r="92" spans="2:18" outlineLevel="1">
      <c r="B92" s="7" t="s">
        <v>77</v>
      </c>
      <c r="C92" s="21">
        <v>0</v>
      </c>
      <c r="D92" s="21">
        <v>0</v>
      </c>
      <c r="E92" s="21">
        <v>0</v>
      </c>
      <c r="F92" s="21">
        <f t="shared" ref="F92:I92" si="29">F116</f>
        <v>0</v>
      </c>
      <c r="G92" s="21">
        <f t="shared" si="29"/>
        <v>0</v>
      </c>
      <c r="H92" s="21">
        <f t="shared" si="29"/>
        <v>0</v>
      </c>
      <c r="I92" s="21">
        <f t="shared" si="29"/>
        <v>0</v>
      </c>
      <c r="J92" s="7"/>
      <c r="L92" s="7"/>
      <c r="M92" s="7"/>
      <c r="N92" s="7"/>
      <c r="O92" s="7"/>
      <c r="P92" s="7"/>
      <c r="Q92" s="7"/>
      <c r="R92" s="7"/>
    </row>
    <row r="93" spans="2:18" outlineLevel="1">
      <c r="B93" s="47" t="s">
        <v>78</v>
      </c>
      <c r="C93" s="48">
        <f t="shared" ref="C93:I93" si="30">SUM(C90:C92)</f>
        <v>-5116.3834026988843</v>
      </c>
      <c r="D93" s="48">
        <f t="shared" si="30"/>
        <v>-5427.0463228338249</v>
      </c>
      <c r="E93" s="48">
        <f t="shared" si="30"/>
        <v>-5753.24238897552</v>
      </c>
      <c r="F93" s="48">
        <f t="shared" si="30"/>
        <v>-7694.1089825185845</v>
      </c>
      <c r="G93" s="48">
        <f t="shared" si="30"/>
        <v>-8133.6581816445178</v>
      </c>
      <c r="H93" s="48">
        <f t="shared" si="30"/>
        <v>-8595.1848407267407</v>
      </c>
      <c r="I93" s="48">
        <f t="shared" si="30"/>
        <v>-9079.7878327630806</v>
      </c>
      <c r="J93" s="7"/>
      <c r="L93" s="7"/>
      <c r="M93" s="7"/>
      <c r="N93" s="7"/>
      <c r="O93" s="7"/>
      <c r="P93" s="7"/>
      <c r="Q93" s="7"/>
      <c r="R93" s="7"/>
    </row>
    <row r="94" spans="2:18" outlineLevel="1">
      <c r="B94" s="7" t="s">
        <v>70</v>
      </c>
      <c r="C94" s="21"/>
      <c r="D94" s="21"/>
      <c r="E94" s="21"/>
      <c r="F94" s="21"/>
      <c r="G94" s="21"/>
      <c r="H94" s="21"/>
      <c r="I94" s="21"/>
      <c r="J94" s="7"/>
      <c r="L94" s="7"/>
      <c r="M94" s="7"/>
      <c r="N94" s="7"/>
      <c r="O94" s="7"/>
      <c r="P94" s="7"/>
      <c r="Q94" s="7"/>
      <c r="R94" s="7"/>
    </row>
    <row r="95" spans="2:18" outlineLevel="1">
      <c r="B95" s="20" t="s">
        <v>79</v>
      </c>
      <c r="C95" s="33">
        <f t="shared" ref="C95:I95" si="31">C83+C87+C93</f>
        <v>-493.5156005016961</v>
      </c>
      <c r="D95" s="33">
        <f t="shared" si="31"/>
        <v>52.755082619545647</v>
      </c>
      <c r="E95" s="33">
        <f t="shared" si="31"/>
        <v>84.924086750527749</v>
      </c>
      <c r="F95" s="33">
        <f t="shared" si="31"/>
        <v>1143.2917488408129</v>
      </c>
      <c r="G95" s="33">
        <f t="shared" si="31"/>
        <v>1066.0531530424014</v>
      </c>
      <c r="H95" s="33">
        <f t="shared" si="31"/>
        <v>1148.8870606945256</v>
      </c>
      <c r="I95" s="33">
        <f t="shared" si="31"/>
        <v>1235.8626637292527</v>
      </c>
      <c r="J95" s="7"/>
      <c r="L95" s="7"/>
      <c r="M95" s="7"/>
      <c r="N95" s="7"/>
      <c r="O95" s="7"/>
      <c r="P95" s="7"/>
      <c r="Q95" s="7"/>
      <c r="R95" s="7"/>
    </row>
    <row r="96" spans="2:18" outlineLevel="1">
      <c r="B96" s="7" t="s">
        <v>80</v>
      </c>
      <c r="C96" s="21">
        <v>31843.900235638368</v>
      </c>
      <c r="D96" s="21">
        <v>31350.384635136674</v>
      </c>
      <c r="E96" s="21">
        <v>31403.139717756218</v>
      </c>
      <c r="F96" s="21">
        <f t="shared" ref="F96:I96" si="32">E97</f>
        <v>31488.063804506746</v>
      </c>
      <c r="G96" s="21">
        <f t="shared" si="32"/>
        <v>32631.355553347559</v>
      </c>
      <c r="H96" s="21">
        <f t="shared" si="32"/>
        <v>33697.408706389964</v>
      </c>
      <c r="I96" s="21">
        <f t="shared" si="32"/>
        <v>34846.295767084492</v>
      </c>
      <c r="J96" s="7"/>
      <c r="L96" s="7"/>
      <c r="M96" s="7"/>
      <c r="N96" s="7"/>
      <c r="O96" s="7"/>
      <c r="P96" s="7"/>
      <c r="Q96" s="7"/>
      <c r="R96" s="7"/>
    </row>
    <row r="97" spans="2:18" outlineLevel="1">
      <c r="B97" s="57" t="s">
        <v>81</v>
      </c>
      <c r="C97" s="58">
        <f t="shared" ref="C97:I97" si="33">C95+C96</f>
        <v>31350.384635136674</v>
      </c>
      <c r="D97" s="58">
        <f t="shared" si="33"/>
        <v>31403.139717756218</v>
      </c>
      <c r="E97" s="58">
        <f t="shared" si="33"/>
        <v>31488.063804506746</v>
      </c>
      <c r="F97" s="58">
        <f t="shared" si="33"/>
        <v>32631.355553347559</v>
      </c>
      <c r="G97" s="58">
        <f t="shared" si="33"/>
        <v>33697.408706389964</v>
      </c>
      <c r="H97" s="58">
        <f t="shared" si="33"/>
        <v>34846.295767084492</v>
      </c>
      <c r="I97" s="58">
        <f t="shared" si="33"/>
        <v>36082.158430813746</v>
      </c>
      <c r="J97" s="7"/>
      <c r="L97" s="7"/>
      <c r="M97" s="7"/>
      <c r="N97" s="7"/>
      <c r="O97" s="7"/>
      <c r="P97" s="7"/>
      <c r="Q97" s="7"/>
      <c r="R97" s="7"/>
    </row>
    <row r="98" spans="2:18">
      <c r="B98" s="7"/>
      <c r="C98" s="7"/>
      <c r="D98" s="7"/>
      <c r="E98" s="7"/>
      <c r="F98" s="7"/>
      <c r="G98" s="7"/>
      <c r="H98" s="7"/>
      <c r="I98" s="7"/>
      <c r="J98" s="7"/>
      <c r="L98" s="7"/>
      <c r="M98" s="7"/>
      <c r="N98" s="7"/>
      <c r="O98" s="7"/>
      <c r="P98" s="7"/>
      <c r="Q98" s="7"/>
      <c r="R98" s="7"/>
    </row>
    <row r="99" spans="2:18" ht="17">
      <c r="B99" s="17" t="s">
        <v>82</v>
      </c>
      <c r="C99" s="10">
        <v>2018</v>
      </c>
      <c r="D99" s="10">
        <v>2019</v>
      </c>
      <c r="E99" s="10">
        <v>2020</v>
      </c>
      <c r="F99" s="11">
        <v>2021</v>
      </c>
      <c r="G99" s="11">
        <v>2022</v>
      </c>
      <c r="H99" s="11">
        <v>2023</v>
      </c>
      <c r="I99" s="11">
        <v>2024</v>
      </c>
      <c r="J99" s="7"/>
      <c r="L99" s="41"/>
      <c r="M99" s="41"/>
      <c r="N99" s="41"/>
      <c r="O99" s="41"/>
      <c r="P99" s="41"/>
      <c r="Q99" s="41"/>
      <c r="R99" s="41"/>
    </row>
    <row r="100" spans="2:18" outlineLevel="1">
      <c r="B100" s="20"/>
      <c r="C100" s="21"/>
      <c r="D100" s="21"/>
      <c r="E100" s="21"/>
      <c r="F100" s="21"/>
      <c r="G100" s="21"/>
      <c r="H100" s="21"/>
      <c r="I100" s="21"/>
      <c r="J100" s="7"/>
      <c r="L100" s="7"/>
      <c r="M100" s="7"/>
      <c r="N100" s="7"/>
      <c r="O100" s="7"/>
      <c r="P100" s="7"/>
      <c r="Q100" s="7"/>
      <c r="R100" s="7"/>
    </row>
    <row r="101" spans="2:18" outlineLevel="1">
      <c r="B101" s="20" t="s">
        <v>83</v>
      </c>
      <c r="C101" s="21"/>
      <c r="D101" s="21"/>
      <c r="E101" s="21"/>
      <c r="F101" s="21"/>
      <c r="G101" s="21"/>
      <c r="H101" s="21"/>
      <c r="I101" s="21"/>
      <c r="J101" s="7"/>
      <c r="L101" s="7"/>
      <c r="M101" s="7"/>
      <c r="N101" s="7"/>
      <c r="O101" s="7"/>
      <c r="P101" s="7"/>
      <c r="Q101" s="7"/>
      <c r="R101" s="7"/>
    </row>
    <row r="102" spans="2:18" outlineLevel="1">
      <c r="B102" s="20" t="s">
        <v>84</v>
      </c>
      <c r="C102" s="21"/>
      <c r="D102" s="21"/>
      <c r="E102" s="21"/>
      <c r="F102" s="21"/>
      <c r="G102" s="21"/>
      <c r="H102" s="21"/>
      <c r="I102" s="21"/>
      <c r="J102" s="7"/>
      <c r="L102" s="7"/>
      <c r="M102" s="7"/>
      <c r="N102" s="7"/>
      <c r="O102" s="7"/>
      <c r="P102" s="7"/>
      <c r="Q102" s="7"/>
      <c r="R102" s="7"/>
    </row>
    <row r="103" spans="2:18" outlineLevel="1">
      <c r="B103" s="7" t="s">
        <v>85</v>
      </c>
      <c r="C103" s="21">
        <f>C106-C105-C104</f>
        <v>33252.2714923776</v>
      </c>
      <c r="D103" s="21">
        <f t="shared" ref="D103:I103" si="34">C106</f>
        <v>44253.977227199997</v>
      </c>
      <c r="E103" s="21">
        <f t="shared" si="34"/>
        <v>46466.676088560002</v>
      </c>
      <c r="F103" s="21">
        <f t="shared" si="34"/>
        <v>48790.009892988004</v>
      </c>
      <c r="G103" s="21">
        <f t="shared" si="34"/>
        <v>51229.510387637405</v>
      </c>
      <c r="H103" s="21">
        <f t="shared" si="34"/>
        <v>53790.985907019283</v>
      </c>
      <c r="I103" s="21">
        <f t="shared" si="34"/>
        <v>56480.535202370251</v>
      </c>
      <c r="J103" s="7"/>
      <c r="K103" s="59"/>
      <c r="L103" s="7"/>
      <c r="M103" s="7"/>
      <c r="N103" s="7"/>
      <c r="O103" s="7"/>
      <c r="P103" s="7"/>
      <c r="Q103" s="7"/>
      <c r="R103" s="7"/>
    </row>
    <row r="104" spans="2:18" outlineLevel="1">
      <c r="B104" s="7" t="s">
        <v>86</v>
      </c>
      <c r="C104" s="21">
        <f>-C86</f>
        <v>6753.3239210112006</v>
      </c>
      <c r="D104" s="21">
        <f t="shared" ref="D104:E104" si="35">-D86</f>
        <v>6673.4997658617649</v>
      </c>
      <c r="E104" s="21">
        <f t="shared" si="35"/>
        <v>7007.1747541548539</v>
      </c>
      <c r="F104" s="21">
        <f t="shared" ref="F104:I104" si="36">F106+F105-F103</f>
        <v>7357.5334918625886</v>
      </c>
      <c r="G104" s="21">
        <f t="shared" si="36"/>
        <v>7725.4101664557311</v>
      </c>
      <c r="H104" s="21">
        <f t="shared" si="36"/>
        <v>8111.6806747785085</v>
      </c>
      <c r="I104" s="21">
        <f t="shared" si="36"/>
        <v>8517.2647085174394</v>
      </c>
      <c r="J104" s="7"/>
      <c r="K104" s="59">
        <f>I106-H106</f>
        <v>2824.0267601185187</v>
      </c>
      <c r="L104" s="7"/>
      <c r="M104" s="7"/>
      <c r="N104" s="7"/>
      <c r="O104" s="7"/>
      <c r="P104" s="7"/>
      <c r="Q104" s="7"/>
      <c r="R104" s="7"/>
    </row>
    <row r="105" spans="2:18" outlineLevel="1">
      <c r="B105" s="7" t="s">
        <v>87</v>
      </c>
      <c r="C105" s="21">
        <f>C14*C30</f>
        <v>4248.3818138112001</v>
      </c>
      <c r="D105" s="21">
        <f>D14*D30</f>
        <v>4460.8009045017607</v>
      </c>
      <c r="E105" s="21">
        <f>E14*E30</f>
        <v>4683.8409497268485</v>
      </c>
      <c r="F105" s="21">
        <f>F14*F30</f>
        <v>4918.0329972131913</v>
      </c>
      <c r="G105" s="21">
        <f>G14*G30</f>
        <v>5163.934647073851</v>
      </c>
      <c r="H105" s="21">
        <f>H14*H30</f>
        <v>5422.1313794275447</v>
      </c>
      <c r="I105" s="21">
        <f>I14*I30</f>
        <v>5693.2379483989216</v>
      </c>
      <c r="J105" s="7"/>
      <c r="L105" s="7"/>
      <c r="M105" s="7"/>
      <c r="N105" s="7"/>
      <c r="O105" s="7"/>
      <c r="P105" s="7"/>
      <c r="Q105" s="7"/>
      <c r="R105" s="7"/>
    </row>
    <row r="106" spans="2:18" outlineLevel="1">
      <c r="B106" s="35" t="s">
        <v>88</v>
      </c>
      <c r="C106" s="60">
        <f>C30/C19</f>
        <v>44253.977227199997</v>
      </c>
      <c r="D106" s="60">
        <f>D30/D19</f>
        <v>46466.676088560002</v>
      </c>
      <c r="E106" s="60">
        <f>E30/E19</f>
        <v>48790.009892988004</v>
      </c>
      <c r="F106" s="60">
        <f>F30/F19</f>
        <v>51229.510387637405</v>
      </c>
      <c r="G106" s="60">
        <f>G30/G19</f>
        <v>53790.985907019283</v>
      </c>
      <c r="H106" s="60">
        <f>H30/H19</f>
        <v>56480.535202370251</v>
      </c>
      <c r="I106" s="60">
        <f>I30/I19</f>
        <v>59304.561962488769</v>
      </c>
      <c r="J106" s="7"/>
      <c r="L106" s="7"/>
      <c r="M106" s="7"/>
      <c r="N106" s="7"/>
      <c r="O106" s="7"/>
      <c r="P106" s="7"/>
      <c r="Q106" s="7"/>
      <c r="R106" s="7"/>
    </row>
    <row r="107" spans="2:18" outlineLevel="1">
      <c r="B107" s="7" t="s">
        <v>70</v>
      </c>
      <c r="C107" s="21"/>
      <c r="D107" s="21"/>
      <c r="E107" s="21"/>
      <c r="F107" s="21"/>
      <c r="G107" s="21"/>
      <c r="H107" s="21"/>
      <c r="I107" s="21"/>
      <c r="J107" s="7"/>
      <c r="L107" s="7"/>
      <c r="M107" s="7"/>
      <c r="N107" s="7"/>
      <c r="O107" s="7"/>
      <c r="P107" s="7"/>
      <c r="Q107" s="7"/>
      <c r="R107" s="7"/>
    </row>
    <row r="108" spans="2:18" outlineLevel="1">
      <c r="B108" s="20" t="s">
        <v>89</v>
      </c>
      <c r="C108" s="21"/>
      <c r="D108" s="21"/>
      <c r="E108" s="21"/>
      <c r="F108" s="21"/>
      <c r="G108" s="21"/>
      <c r="H108" s="21"/>
      <c r="I108" s="21"/>
      <c r="J108" s="7"/>
      <c r="L108" s="7"/>
      <c r="M108" s="7"/>
      <c r="N108" s="7"/>
      <c r="O108" s="7"/>
      <c r="P108" s="7"/>
      <c r="Q108" s="7"/>
      <c r="R108" s="7"/>
    </row>
    <row r="109" spans="2:18" outlineLevel="1">
      <c r="B109" s="7" t="s">
        <v>85</v>
      </c>
      <c r="C109" s="21">
        <f>C112-C111-C110</f>
        <v>10865.154744874239</v>
      </c>
      <c r="D109" s="21">
        <f t="shared" ref="D109:I109" si="37">C112</f>
        <v>23852.897228648329</v>
      </c>
      <c r="E109" s="21">
        <f t="shared" si="37"/>
        <v>26775.152940943466</v>
      </c>
      <c r="F109" s="21">
        <f t="shared" si="37"/>
        <v>29873.05268885336</v>
      </c>
      <c r="G109" s="21">
        <f t="shared" si="37"/>
        <v>34016.03444867106</v>
      </c>
      <c r="H109" s="21">
        <f t="shared" si="37"/>
        <v>38395.696546479645</v>
      </c>
      <c r="I109" s="21">
        <f t="shared" si="37"/>
        <v>43023.87299917866</v>
      </c>
      <c r="J109" s="7"/>
      <c r="L109" s="7"/>
      <c r="M109" s="7"/>
      <c r="N109" s="7"/>
      <c r="O109" s="7"/>
      <c r="P109" s="7"/>
      <c r="Q109" s="7"/>
      <c r="R109" s="7"/>
    </row>
    <row r="110" spans="2:18" outlineLevel="1">
      <c r="B110" s="7" t="s">
        <v>40</v>
      </c>
      <c r="C110" s="21">
        <f t="shared" ref="C110:I110" si="38">C41</f>
        <v>7871.3590810752057</v>
      </c>
      <c r="D110" s="21">
        <f t="shared" si="38"/>
        <v>8349.3020351289615</v>
      </c>
      <c r="E110" s="21">
        <f t="shared" si="38"/>
        <v>8851.1421368854153</v>
      </c>
      <c r="F110" s="21">
        <f t="shared" si="38"/>
        <v>11837.090742336284</v>
      </c>
      <c r="G110" s="21">
        <f t="shared" si="38"/>
        <v>12513.320279453104</v>
      </c>
      <c r="H110" s="21">
        <f t="shared" si="38"/>
        <v>13223.361293425754</v>
      </c>
      <c r="I110" s="21">
        <f t="shared" si="38"/>
        <v>13968.904358097046</v>
      </c>
      <c r="J110" s="7"/>
      <c r="L110" s="7"/>
      <c r="M110" s="7"/>
      <c r="N110" s="7"/>
      <c r="O110" s="7"/>
      <c r="P110" s="7"/>
      <c r="Q110" s="7"/>
      <c r="R110" s="7"/>
    </row>
    <row r="111" spans="2:18" outlineLevel="1">
      <c r="B111" s="7" t="s">
        <v>90</v>
      </c>
      <c r="C111" s="21">
        <f t="shared" ref="C111:I111" si="39">C43</f>
        <v>5116.3834026988843</v>
      </c>
      <c r="D111" s="21">
        <f t="shared" si="39"/>
        <v>5427.0463228338249</v>
      </c>
      <c r="E111" s="21">
        <f t="shared" si="39"/>
        <v>5753.24238897552</v>
      </c>
      <c r="F111" s="21">
        <f t="shared" si="39"/>
        <v>7694.1089825185845</v>
      </c>
      <c r="G111" s="21">
        <f t="shared" si="39"/>
        <v>8133.6581816445178</v>
      </c>
      <c r="H111" s="21">
        <f t="shared" si="39"/>
        <v>8595.1848407267407</v>
      </c>
      <c r="I111" s="21">
        <f t="shared" si="39"/>
        <v>9079.7878327630806</v>
      </c>
      <c r="J111" s="7"/>
      <c r="L111" s="7"/>
      <c r="M111" s="7"/>
      <c r="N111" s="7"/>
      <c r="O111" s="7"/>
      <c r="P111" s="7"/>
      <c r="Q111" s="7"/>
      <c r="R111" s="7"/>
    </row>
    <row r="112" spans="2:18" outlineLevel="1">
      <c r="B112" s="35" t="s">
        <v>91</v>
      </c>
      <c r="C112" s="60">
        <f>C67</f>
        <v>23852.897228648329</v>
      </c>
      <c r="D112" s="60">
        <f t="shared" ref="D112:I112" si="40">D109+D110-D111</f>
        <v>26775.152940943466</v>
      </c>
      <c r="E112" s="60">
        <f t="shared" si="40"/>
        <v>29873.05268885336</v>
      </c>
      <c r="F112" s="60">
        <f t="shared" si="40"/>
        <v>34016.03444867106</v>
      </c>
      <c r="G112" s="60">
        <f t="shared" si="40"/>
        <v>38395.696546479645</v>
      </c>
      <c r="H112" s="60">
        <f t="shared" si="40"/>
        <v>43023.87299917866</v>
      </c>
      <c r="I112" s="60">
        <f t="shared" si="40"/>
        <v>47912.989524512624</v>
      </c>
      <c r="J112" s="7"/>
      <c r="L112" s="7"/>
      <c r="M112" s="7"/>
      <c r="N112" s="7"/>
      <c r="O112" s="7"/>
      <c r="P112" s="7"/>
      <c r="Q112" s="7"/>
      <c r="R112" s="7"/>
    </row>
    <row r="113" spans="2:18" outlineLevel="1">
      <c r="B113" s="20" t="s">
        <v>70</v>
      </c>
      <c r="C113" s="33"/>
      <c r="D113" s="33"/>
      <c r="E113" s="33"/>
      <c r="F113" s="33"/>
      <c r="G113" s="33"/>
      <c r="H113" s="33"/>
      <c r="I113" s="33"/>
      <c r="J113" s="7"/>
      <c r="L113" s="7"/>
      <c r="M113" s="7"/>
      <c r="N113" s="7"/>
      <c r="O113" s="7"/>
      <c r="P113" s="7"/>
      <c r="Q113" s="7"/>
      <c r="R113" s="7"/>
    </row>
    <row r="114" spans="2:18" outlineLevel="1">
      <c r="B114" s="20" t="s">
        <v>92</v>
      </c>
      <c r="C114" s="21"/>
      <c r="D114" s="21"/>
      <c r="E114" s="21"/>
      <c r="F114" s="21"/>
      <c r="G114" s="21"/>
      <c r="H114" s="21"/>
      <c r="I114" s="21"/>
      <c r="J114" s="7"/>
      <c r="L114" s="7"/>
      <c r="M114" s="7"/>
      <c r="N114" s="7"/>
      <c r="O114" s="7"/>
      <c r="P114" s="7"/>
      <c r="Q114" s="7"/>
      <c r="R114" s="7"/>
    </row>
    <row r="115" spans="2:18" outlineLevel="1">
      <c r="B115" s="7" t="s">
        <v>85</v>
      </c>
      <c r="C115" s="55">
        <f>C117-C116</f>
        <v>45000</v>
      </c>
      <c r="D115" s="55">
        <f t="shared" ref="D115:I115" si="41">C117</f>
        <v>45000</v>
      </c>
      <c r="E115" s="55">
        <f t="shared" si="41"/>
        <v>45000</v>
      </c>
      <c r="F115" s="55">
        <f t="shared" si="41"/>
        <v>45000</v>
      </c>
      <c r="G115" s="55">
        <f t="shared" si="41"/>
        <v>45000</v>
      </c>
      <c r="H115" s="55">
        <f t="shared" si="41"/>
        <v>45000</v>
      </c>
      <c r="I115" s="55">
        <f t="shared" si="41"/>
        <v>45000</v>
      </c>
      <c r="J115" s="7"/>
      <c r="L115" s="7"/>
      <c r="M115" s="7"/>
      <c r="N115" s="7"/>
      <c r="O115" s="7"/>
      <c r="P115" s="7"/>
      <c r="Q115" s="7"/>
      <c r="R115" s="7"/>
    </row>
    <row r="116" spans="2:18" outlineLevel="1">
      <c r="B116" s="7" t="s">
        <v>93</v>
      </c>
      <c r="C116" s="21">
        <f>C92</f>
        <v>0</v>
      </c>
      <c r="D116" s="21">
        <f t="shared" ref="D116:I116" si="42">D117-D115</f>
        <v>0</v>
      </c>
      <c r="E116" s="21">
        <f t="shared" si="42"/>
        <v>0</v>
      </c>
      <c r="F116" s="21">
        <f t="shared" si="42"/>
        <v>0</v>
      </c>
      <c r="G116" s="21">
        <f t="shared" si="42"/>
        <v>0</v>
      </c>
      <c r="H116" s="21">
        <f t="shared" si="42"/>
        <v>0</v>
      </c>
      <c r="I116" s="21">
        <f t="shared" si="42"/>
        <v>0</v>
      </c>
      <c r="J116" s="7"/>
      <c r="L116" s="7"/>
      <c r="M116" s="7"/>
      <c r="N116" s="7"/>
      <c r="O116" s="7"/>
      <c r="P116" s="7"/>
      <c r="Q116" s="7"/>
      <c r="R116" s="7"/>
    </row>
    <row r="117" spans="2:18" outlineLevel="1">
      <c r="B117" s="35" t="s">
        <v>94</v>
      </c>
      <c r="C117" s="60">
        <f>C24</f>
        <v>45000</v>
      </c>
      <c r="D117" s="60">
        <f>D24</f>
        <v>45000</v>
      </c>
      <c r="E117" s="60">
        <f>E24</f>
        <v>45000</v>
      </c>
      <c r="F117" s="60">
        <f>F24</f>
        <v>45000</v>
      </c>
      <c r="G117" s="60">
        <f>G24</f>
        <v>45000</v>
      </c>
      <c r="H117" s="60">
        <f>H24</f>
        <v>45000</v>
      </c>
      <c r="I117" s="60">
        <f>I24</f>
        <v>45000</v>
      </c>
      <c r="J117" s="7"/>
      <c r="L117" s="7"/>
      <c r="M117" s="7"/>
      <c r="N117" s="7"/>
      <c r="O117" s="7"/>
      <c r="P117" s="7"/>
      <c r="Q117" s="7"/>
      <c r="R117" s="7"/>
    </row>
    <row r="118" spans="2:18" outlineLevel="1">
      <c r="B118" s="7" t="s">
        <v>70</v>
      </c>
      <c r="C118" s="21"/>
      <c r="D118" s="21"/>
      <c r="E118" s="21"/>
      <c r="F118" s="21"/>
      <c r="G118" s="21"/>
      <c r="H118" s="21"/>
      <c r="I118" s="21"/>
      <c r="J118" s="7"/>
      <c r="L118" s="7"/>
      <c r="M118" s="7"/>
      <c r="N118" s="7"/>
      <c r="O118" s="7"/>
      <c r="P118" s="7"/>
      <c r="Q118" s="7"/>
      <c r="R118" s="7"/>
    </row>
    <row r="119" spans="2:18" outlineLevel="1">
      <c r="B119" s="7" t="s">
        <v>95</v>
      </c>
      <c r="C119" s="21">
        <f>C38</f>
        <v>2250</v>
      </c>
      <c r="D119" s="21">
        <f>D15*AVERAGE(C117:D117)</f>
        <v>2250</v>
      </c>
      <c r="E119" s="21">
        <f>E15*AVERAGE(D117:E117)</f>
        <v>2250</v>
      </c>
      <c r="F119" s="21">
        <f>F15*AVERAGE(E117:F117)</f>
        <v>2250</v>
      </c>
      <c r="G119" s="21">
        <f>G15*AVERAGE(F117:G117)</f>
        <v>2250</v>
      </c>
      <c r="H119" s="21">
        <f>H15*AVERAGE(G117:H117)</f>
        <v>2250</v>
      </c>
      <c r="I119" s="21">
        <f>I15*AVERAGE(H117:I117)</f>
        <v>2250</v>
      </c>
      <c r="J119" s="7"/>
      <c r="L119" s="7"/>
      <c r="M119" s="7"/>
      <c r="N119" s="7"/>
      <c r="O119" s="7"/>
      <c r="P119" s="7"/>
      <c r="Q119" s="7"/>
      <c r="R119" s="7"/>
    </row>
    <row r="120" spans="2:18" outlineLevel="1">
      <c r="B120" s="35" t="s">
        <v>96</v>
      </c>
      <c r="C120" s="60">
        <f t="shared" ref="C120:I120" si="43">C119</f>
        <v>2250</v>
      </c>
      <c r="D120" s="60">
        <f t="shared" si="43"/>
        <v>2250</v>
      </c>
      <c r="E120" s="60">
        <f t="shared" si="43"/>
        <v>2250</v>
      </c>
      <c r="F120" s="60">
        <f t="shared" si="43"/>
        <v>2250</v>
      </c>
      <c r="G120" s="60">
        <f t="shared" si="43"/>
        <v>2250</v>
      </c>
      <c r="H120" s="60">
        <f t="shared" si="43"/>
        <v>2250</v>
      </c>
      <c r="I120" s="60">
        <f t="shared" si="43"/>
        <v>2250</v>
      </c>
      <c r="J120" s="7"/>
      <c r="L120" s="7"/>
      <c r="M120" s="7"/>
      <c r="N120" s="7"/>
      <c r="O120" s="7"/>
      <c r="P120" s="7"/>
      <c r="Q120" s="7"/>
      <c r="R120" s="7"/>
    </row>
    <row r="121" spans="2:18">
      <c r="B121" s="7"/>
      <c r="C121" s="21"/>
      <c r="D121" s="21"/>
      <c r="E121" s="21"/>
      <c r="F121" s="21"/>
      <c r="G121" s="21"/>
      <c r="H121" s="21"/>
      <c r="I121" s="21"/>
      <c r="J121" s="7"/>
      <c r="L121" s="7"/>
      <c r="M121" s="7"/>
      <c r="N121" s="7"/>
      <c r="O121" s="7"/>
      <c r="P121" s="7"/>
      <c r="Q121" s="7"/>
      <c r="R121" s="7"/>
    </row>
    <row r="122" spans="2:18" ht="17">
      <c r="B122" s="17" t="s">
        <v>97</v>
      </c>
      <c r="C122" s="10">
        <v>2018</v>
      </c>
      <c r="D122" s="10">
        <v>2019</v>
      </c>
      <c r="E122" s="10">
        <v>2020</v>
      </c>
      <c r="F122" s="11">
        <v>2021</v>
      </c>
      <c r="G122" s="11">
        <v>2022</v>
      </c>
      <c r="H122" s="11">
        <v>2023</v>
      </c>
      <c r="I122" s="11">
        <v>2024</v>
      </c>
      <c r="J122" s="7"/>
      <c r="L122" s="41"/>
      <c r="M122" s="41"/>
      <c r="N122" s="41"/>
      <c r="O122" s="41"/>
      <c r="P122" s="41"/>
      <c r="Q122" s="41"/>
      <c r="R122" s="41"/>
    </row>
    <row r="123" spans="2:18" outlineLevel="1">
      <c r="B123" s="7"/>
      <c r="C123" s="7"/>
      <c r="D123" s="7"/>
      <c r="E123" s="7"/>
      <c r="F123" s="7"/>
      <c r="G123" s="7"/>
      <c r="H123" s="7"/>
      <c r="I123" s="7"/>
      <c r="J123" s="7"/>
      <c r="L123" s="7"/>
      <c r="M123" s="7"/>
      <c r="N123" s="7"/>
      <c r="O123" s="7"/>
      <c r="P123" s="7"/>
      <c r="Q123" s="7"/>
      <c r="R123" s="7"/>
    </row>
    <row r="124" spans="2:18" outlineLevel="1">
      <c r="B124" s="20" t="s">
        <v>10</v>
      </c>
      <c r="C124" s="7"/>
      <c r="D124" s="7"/>
      <c r="E124" s="7"/>
      <c r="F124" s="7"/>
      <c r="G124" s="7"/>
      <c r="H124" s="7"/>
      <c r="I124" s="7"/>
      <c r="J124" s="7"/>
      <c r="L124" s="7"/>
      <c r="M124" s="7"/>
      <c r="N124" s="7"/>
      <c r="O124" s="7"/>
      <c r="P124" s="7"/>
      <c r="Q124" s="7"/>
      <c r="R124" s="7"/>
    </row>
    <row r="125" spans="2:18" outlineLevel="1">
      <c r="B125" s="7" t="s">
        <v>98</v>
      </c>
      <c r="C125" s="21">
        <f>C30</f>
        <v>141612.72712704001</v>
      </c>
      <c r="D125" s="21">
        <f>D30</f>
        <v>148693.36348339202</v>
      </c>
      <c r="E125" s="21">
        <f>E30</f>
        <v>156128.03165756163</v>
      </c>
      <c r="F125" s="21">
        <f>F30</f>
        <v>163934.43324043971</v>
      </c>
      <c r="G125" s="21">
        <f>G30</f>
        <v>172131.15490246171</v>
      </c>
      <c r="H125" s="21">
        <f>H30</f>
        <v>180737.71264758482</v>
      </c>
      <c r="I125" s="21">
        <f>I30</f>
        <v>189774.59827996406</v>
      </c>
      <c r="J125" s="7"/>
      <c r="L125" s="7"/>
      <c r="M125" s="7"/>
      <c r="N125" s="7"/>
      <c r="O125" s="7"/>
      <c r="P125" s="7"/>
      <c r="Q125" s="7"/>
      <c r="R125" s="7"/>
    </row>
    <row r="126" spans="2:18" outlineLevel="1">
      <c r="B126" s="7" t="s">
        <v>99</v>
      </c>
      <c r="C126" s="49">
        <f t="shared" ref="C126:I126" si="44">C37+C105</f>
        <v>16993.527255244808</v>
      </c>
      <c r="D126" s="49">
        <f>D37+D105</f>
        <v>17843.203618007043</v>
      </c>
      <c r="E126" s="49">
        <f t="shared" si="44"/>
        <v>18735.363798907401</v>
      </c>
      <c r="F126" s="49">
        <f t="shared" si="44"/>
        <v>22950.820653661569</v>
      </c>
      <c r="G126" s="49">
        <f t="shared" si="44"/>
        <v>24098.361686344659</v>
      </c>
      <c r="H126" s="49">
        <f t="shared" si="44"/>
        <v>25303.279770661884</v>
      </c>
      <c r="I126" s="49">
        <f t="shared" si="44"/>
        <v>26568.443759194983</v>
      </c>
      <c r="J126" s="7"/>
      <c r="L126" s="7"/>
      <c r="M126" s="7"/>
      <c r="N126" s="7"/>
      <c r="O126" s="7"/>
      <c r="P126" s="7"/>
      <c r="Q126" s="7"/>
      <c r="R126" s="7"/>
    </row>
    <row r="127" spans="2:18" outlineLevel="1">
      <c r="B127" s="61" t="s">
        <v>100</v>
      </c>
      <c r="C127" s="62">
        <f t="shared" ref="C127:I127" si="45">C126/C125</f>
        <v>0.12000000000000005</v>
      </c>
      <c r="D127" s="62">
        <f t="shared" si="45"/>
        <v>0.12</v>
      </c>
      <c r="E127" s="62">
        <f t="shared" si="45"/>
        <v>0.12000000000000004</v>
      </c>
      <c r="F127" s="62">
        <f t="shared" si="45"/>
        <v>0.14000000000000007</v>
      </c>
      <c r="G127" s="62">
        <f t="shared" si="45"/>
        <v>0.1400000000000001</v>
      </c>
      <c r="H127" s="62">
        <f t="shared" si="45"/>
        <v>0.14000000000000004</v>
      </c>
      <c r="I127" s="62">
        <f t="shared" si="45"/>
        <v>0.14000000000000007</v>
      </c>
      <c r="J127" s="7"/>
      <c r="L127" s="7"/>
      <c r="M127" s="7"/>
      <c r="N127" s="7"/>
      <c r="O127" s="7"/>
      <c r="P127" s="7"/>
      <c r="Q127" s="7"/>
      <c r="R127" s="7"/>
    </row>
    <row r="128" spans="2:18" outlineLevel="1">
      <c r="B128" s="7" t="s">
        <v>40</v>
      </c>
      <c r="C128" s="49">
        <f t="shared" ref="C128:I128" si="46">C41</f>
        <v>7871.3590810752057</v>
      </c>
      <c r="D128" s="49">
        <f t="shared" si="46"/>
        <v>8349.3020351289615</v>
      </c>
      <c r="E128" s="49">
        <f t="shared" si="46"/>
        <v>8851.1421368854153</v>
      </c>
      <c r="F128" s="49">
        <f t="shared" si="46"/>
        <v>11837.090742336284</v>
      </c>
      <c r="G128" s="49">
        <f t="shared" si="46"/>
        <v>12513.320279453104</v>
      </c>
      <c r="H128" s="49">
        <f t="shared" si="46"/>
        <v>13223.361293425754</v>
      </c>
      <c r="I128" s="49">
        <f t="shared" si="46"/>
        <v>13968.904358097046</v>
      </c>
      <c r="J128" s="7"/>
      <c r="L128" s="7"/>
      <c r="M128" s="7"/>
      <c r="N128" s="7"/>
      <c r="O128" s="7"/>
      <c r="P128" s="7"/>
      <c r="Q128" s="7"/>
      <c r="R128" s="7"/>
    </row>
    <row r="129" spans="2:18" outlineLevel="1">
      <c r="B129" s="61" t="s">
        <v>101</v>
      </c>
      <c r="C129" s="62">
        <f t="shared" ref="C129:I129" si="47">C128/C125</f>
        <v>5.5583698165870728E-2</v>
      </c>
      <c r="D129" s="62">
        <f t="shared" si="47"/>
        <v>5.6151141110353041E-2</v>
      </c>
      <c r="E129" s="62">
        <f t="shared" si="47"/>
        <v>5.6691562962241024E-2</v>
      </c>
      <c r="F129" s="62">
        <f t="shared" si="47"/>
        <v>7.2206250440229561E-2</v>
      </c>
      <c r="G129" s="62">
        <f t="shared" si="47"/>
        <v>7.2696428990694853E-2</v>
      </c>
      <c r="H129" s="62">
        <f t="shared" si="47"/>
        <v>7.3163265705423641E-2</v>
      </c>
      <c r="I129" s="62">
        <f t="shared" si="47"/>
        <v>7.3607872100403482E-2</v>
      </c>
      <c r="J129" s="7"/>
      <c r="L129" s="7"/>
      <c r="M129" s="7"/>
      <c r="N129" s="7"/>
      <c r="O129" s="7"/>
      <c r="P129" s="7"/>
      <c r="Q129" s="7"/>
      <c r="R129" s="7"/>
    </row>
    <row r="130" spans="2:18" outlineLevel="1">
      <c r="B130" s="7"/>
      <c r="C130" s="7"/>
      <c r="D130" s="7"/>
      <c r="E130" s="7"/>
      <c r="F130" s="7"/>
      <c r="G130" s="7"/>
      <c r="H130" s="7"/>
      <c r="I130" s="7"/>
      <c r="J130" s="7"/>
      <c r="L130" s="7"/>
      <c r="M130" s="7"/>
      <c r="N130" s="7"/>
      <c r="O130" s="7"/>
      <c r="P130" s="7"/>
      <c r="Q130" s="7"/>
      <c r="R130" s="7"/>
    </row>
    <row r="131" spans="2:18" outlineLevel="1">
      <c r="B131" s="20" t="s">
        <v>102</v>
      </c>
      <c r="C131" s="7"/>
      <c r="D131" s="7"/>
      <c r="E131" s="7"/>
      <c r="F131" s="7"/>
      <c r="G131" s="7"/>
      <c r="H131" s="7"/>
      <c r="I131" s="7"/>
      <c r="J131" s="7"/>
      <c r="L131" s="7"/>
      <c r="M131" s="7"/>
      <c r="N131" s="7"/>
      <c r="O131" s="7"/>
      <c r="P131" s="7"/>
      <c r="Q131" s="7"/>
      <c r="R131" s="7"/>
    </row>
    <row r="132" spans="2:18" outlineLevel="1">
      <c r="B132" s="7" t="s">
        <v>103</v>
      </c>
      <c r="C132" s="21">
        <f t="shared" ref="C132:I132" si="48">C83</f>
        <v>11376.191723208389</v>
      </c>
      <c r="D132" s="21">
        <f t="shared" si="48"/>
        <v>12153.301171315135</v>
      </c>
      <c r="E132" s="21">
        <f t="shared" si="48"/>
        <v>12845.341229880902</v>
      </c>
      <c r="F132" s="21">
        <f t="shared" si="48"/>
        <v>16194.934223221986</v>
      </c>
      <c r="G132" s="21">
        <f t="shared" si="48"/>
        <v>16925.12150114265</v>
      </c>
      <c r="H132" s="21">
        <f t="shared" si="48"/>
        <v>17855.752576199775</v>
      </c>
      <c r="I132" s="21">
        <f t="shared" si="48"/>
        <v>18832.915205009773</v>
      </c>
      <c r="J132" s="7"/>
      <c r="L132" s="7"/>
      <c r="M132" s="7"/>
      <c r="N132" s="7"/>
      <c r="O132" s="7"/>
      <c r="P132" s="7"/>
      <c r="Q132" s="7"/>
      <c r="R132" s="7"/>
    </row>
    <row r="133" spans="2:18" outlineLevel="1">
      <c r="B133" s="7" t="s">
        <v>104</v>
      </c>
      <c r="C133" s="21">
        <f t="shared" ref="C133:I133" si="49">C87</f>
        <v>-6753.3239210112006</v>
      </c>
      <c r="D133" s="21">
        <f t="shared" si="49"/>
        <v>-6673.4997658617649</v>
      </c>
      <c r="E133" s="21">
        <f t="shared" si="49"/>
        <v>-7007.1747541548539</v>
      </c>
      <c r="F133" s="21">
        <f t="shared" si="49"/>
        <v>-7357.5334918625886</v>
      </c>
      <c r="G133" s="21">
        <f t="shared" si="49"/>
        <v>-7725.4101664557311</v>
      </c>
      <c r="H133" s="21">
        <f t="shared" si="49"/>
        <v>-8111.6806747785085</v>
      </c>
      <c r="I133" s="21">
        <f t="shared" si="49"/>
        <v>-8517.2647085174394</v>
      </c>
      <c r="J133" s="7"/>
      <c r="L133" s="7"/>
      <c r="M133" s="7"/>
      <c r="N133" s="7"/>
      <c r="O133" s="7"/>
      <c r="P133" s="7"/>
      <c r="Q133" s="7"/>
      <c r="R133" s="7"/>
    </row>
    <row r="134" spans="2:18" outlineLevel="1">
      <c r="B134" s="7" t="s">
        <v>105</v>
      </c>
      <c r="C134" s="21">
        <f t="shared" ref="C134:I134" si="50">C93</f>
        <v>-5116.3834026988843</v>
      </c>
      <c r="D134" s="21">
        <f t="shared" si="50"/>
        <v>-5427.0463228338249</v>
      </c>
      <c r="E134" s="21">
        <f t="shared" si="50"/>
        <v>-5753.24238897552</v>
      </c>
      <c r="F134" s="21">
        <f t="shared" si="50"/>
        <v>-7694.1089825185845</v>
      </c>
      <c r="G134" s="21">
        <f t="shared" si="50"/>
        <v>-8133.6581816445178</v>
      </c>
      <c r="H134" s="21">
        <f t="shared" si="50"/>
        <v>-8595.1848407267407</v>
      </c>
      <c r="I134" s="21">
        <f t="shared" si="50"/>
        <v>-9079.7878327630806</v>
      </c>
      <c r="J134" s="7"/>
      <c r="L134" s="7"/>
      <c r="M134" s="7"/>
      <c r="N134" s="7"/>
      <c r="O134" s="7"/>
      <c r="P134" s="7"/>
      <c r="Q134" s="7"/>
      <c r="R134" s="7"/>
    </row>
    <row r="135" spans="2:18" outlineLevel="1">
      <c r="B135" s="7" t="s">
        <v>106</v>
      </c>
      <c r="C135" s="21">
        <f t="shared" ref="C135:I135" si="51">C95</f>
        <v>-493.5156005016961</v>
      </c>
      <c r="D135" s="21">
        <f t="shared" si="51"/>
        <v>52.755082619545647</v>
      </c>
      <c r="E135" s="21">
        <f t="shared" si="51"/>
        <v>84.924086750527749</v>
      </c>
      <c r="F135" s="21">
        <f t="shared" si="51"/>
        <v>1143.2917488408129</v>
      </c>
      <c r="G135" s="21">
        <f t="shared" si="51"/>
        <v>1066.0531530424014</v>
      </c>
      <c r="H135" s="21">
        <f t="shared" si="51"/>
        <v>1148.8870606945256</v>
      </c>
      <c r="I135" s="21">
        <f t="shared" si="51"/>
        <v>1235.8626637292527</v>
      </c>
      <c r="J135" s="7"/>
      <c r="L135" s="7"/>
      <c r="M135" s="7"/>
      <c r="N135" s="7"/>
      <c r="O135" s="7"/>
      <c r="P135" s="7"/>
      <c r="Q135" s="7"/>
      <c r="R135" s="7"/>
    </row>
    <row r="136" spans="2:18">
      <c r="B136" s="7"/>
      <c r="C136" s="7"/>
      <c r="D136" s="7"/>
      <c r="E136" s="7"/>
      <c r="F136" s="7"/>
      <c r="G136" s="7"/>
      <c r="H136" s="7"/>
      <c r="I136" s="7"/>
      <c r="J136" s="7"/>
      <c r="L136" s="7"/>
      <c r="M136" s="7"/>
      <c r="N136" s="7"/>
      <c r="O136" s="7"/>
      <c r="P136" s="7"/>
      <c r="Q136" s="7"/>
      <c r="R136" s="7"/>
    </row>
    <row r="137" spans="2:18" ht="17">
      <c r="B137" s="17" t="s">
        <v>107</v>
      </c>
      <c r="C137" s="10">
        <v>2018</v>
      </c>
      <c r="D137" s="10">
        <v>2019</v>
      </c>
      <c r="E137" s="10">
        <v>2020</v>
      </c>
      <c r="F137" s="11">
        <v>2021</v>
      </c>
      <c r="G137" s="11">
        <v>2022</v>
      </c>
      <c r="H137" s="11">
        <v>2023</v>
      </c>
      <c r="I137" s="11">
        <v>2024</v>
      </c>
      <c r="J137" s="15"/>
      <c r="L137" s="15"/>
      <c r="M137" s="15"/>
      <c r="N137" s="7"/>
      <c r="O137" s="7"/>
      <c r="P137" s="7"/>
      <c r="Q137" s="7"/>
      <c r="R137" s="7"/>
    </row>
    <row r="138" spans="2:18" outlineLevel="1">
      <c r="B138" s="7"/>
      <c r="C138" s="7"/>
      <c r="D138" s="7"/>
      <c r="E138" s="7"/>
      <c r="F138" s="7"/>
      <c r="G138" s="7"/>
      <c r="H138" s="7"/>
      <c r="I138" s="7"/>
      <c r="J138" s="7"/>
      <c r="L138" s="7"/>
      <c r="M138" s="7"/>
      <c r="N138" s="7"/>
      <c r="O138" s="7"/>
      <c r="P138" s="7"/>
      <c r="Q138" s="7"/>
      <c r="R138" s="7"/>
    </row>
    <row r="139" spans="2:18" outlineLevel="1">
      <c r="B139" s="20" t="s">
        <v>108</v>
      </c>
      <c r="C139" s="7"/>
      <c r="D139" s="7"/>
      <c r="E139" s="7"/>
      <c r="F139" s="7"/>
      <c r="G139" s="7"/>
      <c r="H139" s="7"/>
      <c r="I139" s="7"/>
      <c r="J139" s="7"/>
      <c r="L139" s="7"/>
      <c r="M139" s="7"/>
      <c r="N139" s="7"/>
      <c r="O139" s="7"/>
      <c r="P139" s="7"/>
      <c r="Q139" s="7"/>
      <c r="R139" s="7"/>
    </row>
    <row r="140" spans="2:18" outlineLevel="1">
      <c r="B140" s="7" t="str">
        <f t="shared" ref="B140:I142" si="52">B20</f>
        <v>Receivable Days (Sales Basis)</v>
      </c>
      <c r="C140" s="63">
        <f t="shared" si="52"/>
        <v>32</v>
      </c>
      <c r="D140" s="63">
        <f t="shared" si="52"/>
        <v>32</v>
      </c>
      <c r="E140" s="63">
        <f t="shared" si="52"/>
        <v>32</v>
      </c>
      <c r="F140" s="63">
        <f t="shared" si="52"/>
        <v>32</v>
      </c>
      <c r="G140" s="63">
        <f t="shared" si="52"/>
        <v>32</v>
      </c>
      <c r="H140" s="63">
        <f t="shared" si="52"/>
        <v>32</v>
      </c>
      <c r="I140" s="63">
        <f t="shared" si="52"/>
        <v>32</v>
      </c>
      <c r="N140" s="7"/>
      <c r="O140" s="7"/>
      <c r="P140" s="7"/>
      <c r="Q140" s="7"/>
      <c r="R140" s="7"/>
    </row>
    <row r="141" spans="2:18" outlineLevel="1">
      <c r="B141" s="7" t="str">
        <f t="shared" si="52"/>
        <v>Inventory Days (COGS Basis)</v>
      </c>
      <c r="C141" s="63">
        <f t="shared" si="52"/>
        <v>35</v>
      </c>
      <c r="D141" s="63">
        <f t="shared" si="52"/>
        <v>35</v>
      </c>
      <c r="E141" s="63">
        <f t="shared" si="52"/>
        <v>35</v>
      </c>
      <c r="F141" s="63">
        <f t="shared" si="52"/>
        <v>35</v>
      </c>
      <c r="G141" s="63">
        <f t="shared" si="52"/>
        <v>35</v>
      </c>
      <c r="H141" s="63">
        <f t="shared" si="52"/>
        <v>35</v>
      </c>
      <c r="I141" s="63">
        <f t="shared" si="52"/>
        <v>35</v>
      </c>
      <c r="N141" s="7"/>
      <c r="O141" s="7"/>
      <c r="P141" s="7"/>
      <c r="Q141" s="7"/>
      <c r="R141" s="7"/>
    </row>
    <row r="142" spans="2:18" outlineLevel="1">
      <c r="B142" s="7" t="str">
        <f t="shared" si="52"/>
        <v>Payable Days (COGS Basis)</v>
      </c>
      <c r="C142" s="63">
        <f t="shared" si="52"/>
        <v>30</v>
      </c>
      <c r="D142" s="63">
        <f t="shared" si="52"/>
        <v>30</v>
      </c>
      <c r="E142" s="63">
        <f t="shared" si="52"/>
        <v>30</v>
      </c>
      <c r="F142" s="63">
        <f t="shared" si="52"/>
        <v>30</v>
      </c>
      <c r="G142" s="63">
        <f t="shared" si="52"/>
        <v>30</v>
      </c>
      <c r="H142" s="63">
        <f t="shared" si="52"/>
        <v>30</v>
      </c>
      <c r="I142" s="63">
        <f t="shared" si="52"/>
        <v>30</v>
      </c>
      <c r="N142" s="7"/>
      <c r="O142" s="7"/>
      <c r="P142" s="7"/>
      <c r="Q142" s="7"/>
      <c r="R142" s="7"/>
    </row>
    <row r="143" spans="2:18" outlineLevel="1">
      <c r="B143" s="7" t="s">
        <v>109</v>
      </c>
      <c r="C143" s="63">
        <f>C55/C30</f>
        <v>0.68867564406103454</v>
      </c>
      <c r="D143" s="63">
        <f>D55/D30</f>
        <v>0.67848847690272041</v>
      </c>
      <c r="E143" s="63">
        <f>E55/E30</f>
        <v>0.66897556059058194</v>
      </c>
      <c r="F143" s="63">
        <f>F55/F30</f>
        <v>0.66634578091060337</v>
      </c>
      <c r="G143" s="63">
        <f>G55/G30</f>
        <v>0.66306041037471497</v>
      </c>
      <c r="H143" s="63">
        <f>H55/H30</f>
        <v>0.66009487890497631</v>
      </c>
      <c r="I143" s="63">
        <f>I55/I30</f>
        <v>0.65742617545775406</v>
      </c>
      <c r="N143" s="7"/>
      <c r="O143" s="7"/>
      <c r="P143" s="7"/>
      <c r="Q143" s="7"/>
      <c r="R143" s="7"/>
    </row>
    <row r="144" spans="2:18" outlineLevel="1">
      <c r="B144" s="7"/>
      <c r="C144" s="63"/>
      <c r="D144" s="63"/>
      <c r="E144" s="63"/>
      <c r="F144" s="63"/>
      <c r="G144" s="63"/>
      <c r="H144" s="63"/>
      <c r="I144" s="63"/>
      <c r="N144" s="7"/>
      <c r="O144" s="7"/>
      <c r="P144" s="7"/>
      <c r="Q144" s="7"/>
      <c r="R144" s="7"/>
    </row>
    <row r="145" spans="2:9" outlineLevel="1">
      <c r="B145" s="64" t="s">
        <v>110</v>
      </c>
      <c r="C145" s="65"/>
      <c r="D145" s="65"/>
      <c r="E145" s="65"/>
      <c r="F145" s="65"/>
      <c r="G145" s="65"/>
      <c r="H145" s="65"/>
      <c r="I145" s="65"/>
    </row>
    <row r="146" spans="2:9" outlineLevel="1">
      <c r="B146" s="1" t="s">
        <v>111</v>
      </c>
      <c r="C146" s="65">
        <f t="shared" ref="C146:I146" si="53">C52/C61</f>
        <v>6.1426634569143861</v>
      </c>
      <c r="D146" s="65">
        <f t="shared" si="53"/>
        <v>5.9726252747992001</v>
      </c>
      <c r="E146" s="65">
        <f t="shared" si="53"/>
        <v>5.8139641384683411</v>
      </c>
      <c r="F146" s="65">
        <f t="shared" si="53"/>
        <v>5.6753352181324104</v>
      </c>
      <c r="G146" s="65">
        <f t="shared" si="53"/>
        <v>5.6196956732646743</v>
      </c>
      <c r="H146" s="65">
        <f t="shared" si="53"/>
        <v>5.5693777802737969</v>
      </c>
      <c r="I146" s="65">
        <f t="shared" si="53"/>
        <v>5.5239947419007347</v>
      </c>
    </row>
    <row r="147" spans="2:9" outlineLevel="1">
      <c r="B147" s="1" t="s">
        <v>112</v>
      </c>
      <c r="C147" s="65">
        <f t="shared" ref="C147:I147" si="54">(C49+C50)/C61</f>
        <v>5.0465909897156971</v>
      </c>
      <c r="D147" s="65">
        <f t="shared" si="54"/>
        <v>4.8772294638010774</v>
      </c>
      <c r="E147" s="65">
        <f t="shared" si="54"/>
        <v>4.7192119856697001</v>
      </c>
      <c r="F147" s="65">
        <f t="shared" si="54"/>
        <v>4.5987442877642888</v>
      </c>
      <c r="G147" s="65">
        <f t="shared" si="54"/>
        <v>4.5436687228793646</v>
      </c>
      <c r="H147" s="65">
        <f t="shared" si="54"/>
        <v>4.4938874046020452</v>
      </c>
      <c r="I147" s="65">
        <f t="shared" si="54"/>
        <v>4.4490148924796102</v>
      </c>
    </row>
    <row r="148" spans="2:9" outlineLevel="1">
      <c r="C148" s="65"/>
      <c r="D148" s="65"/>
      <c r="E148" s="65"/>
      <c r="F148" s="65"/>
      <c r="G148" s="65"/>
      <c r="H148" s="65"/>
      <c r="I148" s="65"/>
    </row>
    <row r="149" spans="2:9" outlineLevel="1">
      <c r="B149" s="64" t="s">
        <v>113</v>
      </c>
      <c r="C149" s="65"/>
      <c r="D149" s="65"/>
      <c r="E149" s="65"/>
      <c r="F149" s="65"/>
      <c r="G149" s="65"/>
      <c r="H149" s="65"/>
      <c r="I149" s="65"/>
    </row>
    <row r="150" spans="2:9" outlineLevel="1">
      <c r="B150" s="1" t="s">
        <v>114</v>
      </c>
      <c r="C150" s="65">
        <f t="shared" ref="C150:I150" si="55">C55/C68</f>
        <v>2.2239177391851381</v>
      </c>
      <c r="D150" s="65">
        <f t="shared" si="55"/>
        <v>2.1568445504125879</v>
      </c>
      <c r="E150" s="65">
        <f t="shared" si="55"/>
        <v>2.0942338972838748</v>
      </c>
      <c r="F150" s="65">
        <f t="shared" si="55"/>
        <v>2.0223072472960015</v>
      </c>
      <c r="G150" s="65">
        <f t="shared" si="55"/>
        <v>1.9544822813622276</v>
      </c>
      <c r="H150" s="65">
        <f t="shared" si="55"/>
        <v>1.8929975716539145</v>
      </c>
      <c r="I150" s="65">
        <f t="shared" si="55"/>
        <v>1.8370975747017642</v>
      </c>
    </row>
    <row r="151" spans="2:9" outlineLevel="1">
      <c r="B151" s="1" t="s">
        <v>115</v>
      </c>
      <c r="C151" s="66">
        <f t="shared" ref="C151:I151" si="56">(C63-C49)/C68</f>
        <v>0.31125914654382902</v>
      </c>
      <c r="D151" s="66">
        <f t="shared" si="56"/>
        <v>0.29068553339442121</v>
      </c>
      <c r="E151" s="66">
        <f t="shared" si="56"/>
        <v>0.27092659195720686</v>
      </c>
      <c r="F151" s="66">
        <f t="shared" si="56"/>
        <v>0.22898097894257291</v>
      </c>
      <c r="G151" s="66">
        <f t="shared" si="56"/>
        <v>0.19355178484109387</v>
      </c>
      <c r="H151" s="66">
        <f t="shared" si="56"/>
        <v>0.16110885843286454</v>
      </c>
      <c r="I151" s="66">
        <f t="shared" si="56"/>
        <v>0.1313127522676267</v>
      </c>
    </row>
    <row r="152" spans="2:9" outlineLevel="1">
      <c r="B152" s="1" t="s">
        <v>116</v>
      </c>
      <c r="C152" s="65">
        <f t="shared" ref="C152:I152" si="57">C37/C38</f>
        <v>5.6645090850816038</v>
      </c>
      <c r="D152" s="65">
        <f t="shared" si="57"/>
        <v>5.9477345393356806</v>
      </c>
      <c r="E152" s="65">
        <f t="shared" si="57"/>
        <v>6.2451212663024682</v>
      </c>
      <c r="F152" s="65">
        <f t="shared" si="57"/>
        <v>8.0145722917548348</v>
      </c>
      <c r="G152" s="65">
        <f t="shared" si="57"/>
        <v>8.4153009063425799</v>
      </c>
      <c r="H152" s="65">
        <f t="shared" si="57"/>
        <v>8.8360659516597071</v>
      </c>
      <c r="I152" s="65">
        <f t="shared" si="57"/>
        <v>9.2778692492426948</v>
      </c>
    </row>
    <row r="153" spans="2:9" outlineLevel="1">
      <c r="C153" s="65"/>
      <c r="D153" s="65"/>
      <c r="E153" s="65"/>
      <c r="F153" s="65"/>
      <c r="G153" s="65"/>
      <c r="H153" s="65"/>
      <c r="I153" s="65"/>
    </row>
    <row r="154" spans="2:9" outlineLevel="1">
      <c r="B154" s="64" t="s">
        <v>117</v>
      </c>
      <c r="C154" s="65"/>
      <c r="D154" s="67"/>
      <c r="E154" s="65"/>
      <c r="F154" s="65"/>
      <c r="G154" s="65"/>
      <c r="H154" s="65"/>
      <c r="I154" s="65"/>
    </row>
    <row r="155" spans="2:9" outlineLevel="1">
      <c r="B155" s="1" t="s">
        <v>118</v>
      </c>
      <c r="C155" s="66">
        <f>C41/AVERAGE(C68:C68)</f>
        <v>0.17949461902218364</v>
      </c>
      <c r="D155" s="66">
        <f t="shared" ref="D155:I155" si="58">D41/AVERAGE(C68:D68)</f>
        <v>0.18425425725269287</v>
      </c>
      <c r="E155" s="66">
        <f t="shared" si="58"/>
        <v>0.18316205829602264</v>
      </c>
      <c r="F155" s="66">
        <f t="shared" si="58"/>
        <v>0.22787938692091489</v>
      </c>
      <c r="G155" s="66">
        <f t="shared" si="58"/>
        <v>0.22263370857607223</v>
      </c>
      <c r="H155" s="66">
        <f t="shared" si="58"/>
        <v>0.21781268609181281</v>
      </c>
      <c r="I155" s="66">
        <f t="shared" si="58"/>
        <v>0.21336855166465529</v>
      </c>
    </row>
    <row r="156" spans="2:9" outlineLevel="1">
      <c r="B156" s="1" t="s">
        <v>119</v>
      </c>
      <c r="C156" s="66">
        <f>C41/(AVERAGE(C55:C55))</f>
        <v>8.0710997470595264E-2</v>
      </c>
      <c r="D156" s="66">
        <f t="shared" ref="D156:I156" si="59">D41/(AVERAGE(C55:D55))</f>
        <v>8.4161273581624618E-2</v>
      </c>
      <c r="E156" s="66">
        <f t="shared" si="59"/>
        <v>8.6212743398743394E-2</v>
      </c>
      <c r="F156" s="66">
        <f t="shared" si="59"/>
        <v>0.11079120707261553</v>
      </c>
      <c r="G156" s="66">
        <f t="shared" si="59"/>
        <v>0.11204100310498152</v>
      </c>
      <c r="H156" s="66">
        <f t="shared" si="59"/>
        <v>0.11329257183315444</v>
      </c>
      <c r="I156" s="66">
        <f t="shared" si="59"/>
        <v>0.11446786551126505</v>
      </c>
    </row>
    <row r="157" spans="2:9" outlineLevel="1">
      <c r="B157" s="1" t="s">
        <v>120</v>
      </c>
      <c r="C157" s="66">
        <f>C41/C30</f>
        <v>5.5583698165870728E-2</v>
      </c>
      <c r="D157" s="66">
        <f>D41/D30</f>
        <v>5.6151141110353041E-2</v>
      </c>
      <c r="E157" s="66">
        <f>E41/E30</f>
        <v>5.6691562962241024E-2</v>
      </c>
      <c r="F157" s="66">
        <f>F41/F30</f>
        <v>7.2206250440229561E-2</v>
      </c>
      <c r="G157" s="66">
        <f>G41/G30</f>
        <v>7.2696428990694853E-2</v>
      </c>
      <c r="H157" s="66">
        <f>H41/H30</f>
        <v>7.3163265705423641E-2</v>
      </c>
      <c r="I157" s="66">
        <f>I41/I30</f>
        <v>7.3607872100403482E-2</v>
      </c>
    </row>
    <row r="158" spans="2:9">
      <c r="C158" s="66"/>
      <c r="D158" s="66"/>
      <c r="E158" s="66"/>
      <c r="F158" s="66"/>
      <c r="G158" s="66"/>
      <c r="H158" s="66"/>
      <c r="I158" s="66"/>
    </row>
    <row r="159" spans="2:9" ht="17">
      <c r="B159" s="17" t="s">
        <v>121</v>
      </c>
      <c r="C159" s="10"/>
      <c r="D159" s="10"/>
      <c r="E159" s="10"/>
      <c r="F159" s="11"/>
      <c r="G159" s="11"/>
      <c r="H159" s="11"/>
      <c r="I159" s="11"/>
    </row>
    <row r="160" spans="2:9" outlineLevel="1">
      <c r="C160" s="66"/>
      <c r="D160" s="66"/>
      <c r="E160" s="66"/>
      <c r="F160" s="66"/>
      <c r="G160" s="66"/>
      <c r="H160" s="66"/>
      <c r="I160" s="66"/>
    </row>
    <row r="161" spans="2:18" outlineLevel="1">
      <c r="B161" s="1" t="s">
        <v>122</v>
      </c>
      <c r="C161" s="66">
        <v>0.02</v>
      </c>
      <c r="D161" s="7"/>
      <c r="E161" s="7"/>
      <c r="F161" s="7"/>
      <c r="G161" s="7"/>
      <c r="H161" s="7"/>
      <c r="I161" s="7"/>
      <c r="J161" s="7"/>
      <c r="L161" s="7"/>
      <c r="M161" s="7"/>
      <c r="N161" s="7"/>
      <c r="O161" s="7"/>
      <c r="P161" s="7"/>
      <c r="Q161" s="7"/>
      <c r="R161" s="7"/>
    </row>
    <row r="162" spans="2:18" outlineLevel="1">
      <c r="B162" s="1" t="s">
        <v>123</v>
      </c>
      <c r="C162" s="66">
        <v>0.05</v>
      </c>
      <c r="D162" s="7"/>
      <c r="E162" s="7"/>
      <c r="F162" s="7"/>
      <c r="G162" s="7"/>
      <c r="H162" s="7"/>
      <c r="I162" s="7"/>
      <c r="J162" s="7"/>
      <c r="L162" s="7"/>
      <c r="M162" s="7"/>
      <c r="N162" s="7"/>
      <c r="O162" s="7"/>
      <c r="P162" s="7"/>
      <c r="Q162" s="7"/>
      <c r="R162" s="7"/>
    </row>
    <row r="163" spans="2:18" outlineLevel="1">
      <c r="B163" s="68" t="s">
        <v>124</v>
      </c>
      <c r="C163" s="68">
        <v>1.2</v>
      </c>
      <c r="D163" s="44"/>
      <c r="E163" s="44"/>
      <c r="F163" s="44"/>
      <c r="G163" s="7"/>
      <c r="H163" s="7"/>
      <c r="I163" s="7"/>
      <c r="J163" s="7"/>
      <c r="L163" s="7"/>
      <c r="M163" s="7"/>
      <c r="N163" s="7"/>
      <c r="O163" s="7"/>
      <c r="P163" s="7"/>
      <c r="Q163" s="7"/>
      <c r="R163" s="7"/>
    </row>
    <row r="164" spans="2:18" outlineLevel="1">
      <c r="B164" s="69" t="s">
        <v>125</v>
      </c>
      <c r="C164" s="70">
        <f>C161+(C163*C162)</f>
        <v>0.08</v>
      </c>
      <c r="D164" s="71"/>
      <c r="F164" s="44"/>
      <c r="G164" s="7"/>
      <c r="H164" s="7"/>
      <c r="I164" s="7"/>
      <c r="J164" s="7"/>
      <c r="L164" s="7"/>
      <c r="M164" s="7"/>
      <c r="N164" s="7"/>
      <c r="O164" s="7"/>
      <c r="P164" s="7"/>
      <c r="Q164" s="7"/>
      <c r="R164" s="7"/>
    </row>
    <row r="165" spans="2:18" outlineLevel="1">
      <c r="B165" s="68" t="s">
        <v>126</v>
      </c>
      <c r="C165" s="72">
        <f>F68/(F68+F63)</f>
        <v>0.54552815359084528</v>
      </c>
      <c r="D165" s="71"/>
      <c r="E165" s="73"/>
      <c r="F165" s="44"/>
      <c r="G165" s="7"/>
      <c r="H165" s="7"/>
      <c r="I165" s="7"/>
      <c r="J165" s="7"/>
      <c r="L165" s="7"/>
      <c r="M165" s="7"/>
      <c r="N165" s="7"/>
      <c r="O165" s="7"/>
      <c r="P165" s="7"/>
      <c r="Q165" s="7"/>
      <c r="R165" s="7"/>
    </row>
    <row r="166" spans="2:18" outlineLevel="1">
      <c r="B166" s="74" t="s">
        <v>127</v>
      </c>
      <c r="C166" s="75">
        <f>C164*C165</f>
        <v>4.3642252287267626E-2</v>
      </c>
      <c r="D166" s="71"/>
      <c r="E166" s="71"/>
      <c r="F166" s="44"/>
      <c r="G166" s="7"/>
      <c r="H166" s="7"/>
      <c r="I166" s="7"/>
      <c r="J166" s="7"/>
      <c r="L166" s="7"/>
      <c r="M166" s="7"/>
      <c r="N166" s="7"/>
      <c r="O166" s="7"/>
      <c r="P166" s="7"/>
      <c r="Q166" s="7"/>
      <c r="R166" s="7"/>
    </row>
    <row r="167" spans="2:18" outlineLevel="1">
      <c r="B167" s="69"/>
      <c r="C167" s="76"/>
      <c r="D167" s="71"/>
      <c r="E167" s="71"/>
      <c r="F167" s="44"/>
      <c r="G167" s="7"/>
      <c r="H167" s="7"/>
      <c r="I167" s="7"/>
      <c r="J167" s="7"/>
      <c r="L167" s="7"/>
      <c r="M167" s="7"/>
      <c r="N167" s="7"/>
      <c r="O167" s="7"/>
      <c r="P167" s="7"/>
      <c r="Q167" s="7"/>
      <c r="R167" s="7"/>
    </row>
    <row r="168" spans="2:18" outlineLevel="1">
      <c r="B168" s="69" t="s">
        <v>128</v>
      </c>
      <c r="C168" s="77">
        <f>AVERAGE(F15:I15)</f>
        <v>0.05</v>
      </c>
      <c r="D168" s="78"/>
      <c r="E168" s="79"/>
      <c r="F168" s="44"/>
      <c r="G168" s="7"/>
      <c r="H168" s="7"/>
      <c r="I168" s="7"/>
      <c r="J168" s="7"/>
      <c r="L168" s="7"/>
      <c r="M168" s="7"/>
      <c r="N168" s="7"/>
      <c r="O168" s="7"/>
      <c r="P168" s="7"/>
      <c r="Q168" s="7"/>
      <c r="R168" s="7"/>
    </row>
    <row r="169" spans="2:18" outlineLevel="1">
      <c r="B169" s="68" t="s">
        <v>129</v>
      </c>
      <c r="C169" s="80">
        <f>F16</f>
        <v>0.25</v>
      </c>
      <c r="D169" s="78"/>
      <c r="E169" s="79"/>
      <c r="F169" s="44"/>
      <c r="G169" s="7"/>
      <c r="H169" s="7"/>
      <c r="I169" s="7"/>
      <c r="J169" s="7"/>
      <c r="L169" s="7"/>
      <c r="M169" s="7"/>
      <c r="N169" s="7"/>
      <c r="O169" s="7"/>
      <c r="P169" s="7"/>
      <c r="Q169" s="7"/>
      <c r="R169" s="7"/>
    </row>
    <row r="170" spans="2:18" outlineLevel="1">
      <c r="B170" s="69" t="s">
        <v>130</v>
      </c>
      <c r="C170" s="77">
        <f>C168*(1-C169)</f>
        <v>3.7500000000000006E-2</v>
      </c>
      <c r="D170" s="78"/>
      <c r="E170" s="79"/>
      <c r="F170" s="44"/>
      <c r="G170" s="7"/>
      <c r="H170" s="7"/>
      <c r="I170" s="7"/>
      <c r="J170" s="7"/>
      <c r="L170" s="7"/>
      <c r="M170" s="7"/>
      <c r="N170" s="7"/>
      <c r="O170" s="7"/>
      <c r="P170" s="7"/>
      <c r="Q170" s="7"/>
      <c r="R170" s="7"/>
    </row>
    <row r="171" spans="2:18" outlineLevel="1">
      <c r="B171" s="68" t="s">
        <v>131</v>
      </c>
      <c r="C171" s="80">
        <f>1-C165</f>
        <v>0.45447184640915472</v>
      </c>
      <c r="D171" s="78"/>
      <c r="E171" s="79"/>
      <c r="F171" s="44"/>
      <c r="G171" s="7"/>
      <c r="H171" s="7"/>
      <c r="I171" s="7"/>
      <c r="J171" s="7"/>
      <c r="L171" s="7"/>
      <c r="M171" s="7"/>
      <c r="N171" s="7"/>
      <c r="O171" s="7"/>
      <c r="P171" s="7"/>
      <c r="Q171" s="7"/>
      <c r="R171" s="7"/>
    </row>
    <row r="172" spans="2:18" outlineLevel="1">
      <c r="B172" s="74" t="s">
        <v>132</v>
      </c>
      <c r="C172" s="81">
        <f>C170*C171</f>
        <v>1.7042694240343305E-2</v>
      </c>
      <c r="D172" s="78"/>
      <c r="E172" s="79"/>
      <c r="F172" s="44"/>
      <c r="G172" s="7"/>
      <c r="H172" s="7"/>
      <c r="I172" s="7"/>
      <c r="J172" s="7"/>
      <c r="L172" s="7"/>
      <c r="M172" s="7"/>
      <c r="N172" s="7"/>
      <c r="O172" s="7"/>
      <c r="P172" s="7"/>
      <c r="Q172" s="7"/>
      <c r="R172" s="7"/>
    </row>
    <row r="173" spans="2:18" ht="17" outlineLevel="1" thickBot="1">
      <c r="B173" s="82"/>
      <c r="C173" s="83"/>
      <c r="D173" s="78"/>
      <c r="E173" s="79"/>
      <c r="F173" s="44"/>
      <c r="G173" s="7"/>
      <c r="H173" s="7"/>
      <c r="I173" s="7"/>
      <c r="J173" s="7"/>
      <c r="L173" s="7"/>
      <c r="M173" s="7"/>
      <c r="N173" s="7"/>
      <c r="O173" s="7"/>
      <c r="P173" s="7"/>
      <c r="Q173" s="7"/>
      <c r="R173" s="7"/>
    </row>
    <row r="174" spans="2:18" ht="17" outlineLevel="1" thickTop="1">
      <c r="B174" s="74" t="s">
        <v>133</v>
      </c>
      <c r="C174" s="84">
        <f>C166+C172</f>
        <v>6.0684946527610931E-2</v>
      </c>
      <c r="D174" s="78"/>
      <c r="E174" s="78"/>
      <c r="F174" s="44"/>
      <c r="G174" s="7"/>
      <c r="H174" s="7"/>
      <c r="I174" s="7"/>
      <c r="J174" s="7"/>
      <c r="L174" s="7"/>
      <c r="M174" s="7"/>
      <c r="N174" s="7"/>
      <c r="O174" s="7"/>
      <c r="P174" s="7"/>
      <c r="Q174" s="7"/>
      <c r="R174" s="7"/>
    </row>
    <row r="175" spans="2:18" outlineLevel="1">
      <c r="B175" s="69"/>
      <c r="C175" s="85"/>
      <c r="D175" s="78"/>
      <c r="E175" s="78"/>
      <c r="F175" s="44"/>
      <c r="G175" s="7"/>
      <c r="H175" s="7"/>
      <c r="I175" s="7"/>
      <c r="J175" s="7"/>
      <c r="L175" s="7"/>
      <c r="M175" s="7"/>
      <c r="N175" s="7"/>
      <c r="O175" s="7"/>
      <c r="P175" s="7"/>
      <c r="Q175" s="7"/>
      <c r="R175" s="7"/>
    </row>
    <row r="176" spans="2:18" outlineLevel="1">
      <c r="B176" s="69" t="s">
        <v>134</v>
      </c>
      <c r="C176" s="85">
        <v>0.02</v>
      </c>
      <c r="D176" s="78"/>
      <c r="E176" s="78"/>
      <c r="F176" s="44"/>
      <c r="G176" s="7"/>
      <c r="H176" s="7"/>
      <c r="I176" s="7"/>
      <c r="J176" s="7"/>
      <c r="L176" s="7"/>
      <c r="M176" s="7"/>
      <c r="N176" s="7"/>
      <c r="O176" s="7"/>
      <c r="P176" s="7"/>
      <c r="Q176" s="7"/>
      <c r="R176" s="7"/>
    </row>
    <row r="177" spans="2:18" outlineLevel="1">
      <c r="B177" s="86" t="s">
        <v>135</v>
      </c>
      <c r="C177" s="87">
        <v>501</v>
      </c>
      <c r="D177" s="78"/>
      <c r="E177" s="78"/>
      <c r="F177" s="44"/>
      <c r="G177" s="7"/>
      <c r="H177" s="7"/>
      <c r="I177" s="7"/>
      <c r="J177" s="7"/>
      <c r="L177" s="7"/>
      <c r="M177" s="7"/>
      <c r="N177" s="7"/>
      <c r="O177" s="7"/>
      <c r="P177" s="7"/>
      <c r="Q177" s="7"/>
      <c r="R177" s="7"/>
    </row>
    <row r="178" spans="2:18" outlineLevel="1">
      <c r="B178" s="69" t="s">
        <v>136</v>
      </c>
      <c r="C178" s="88">
        <v>400</v>
      </c>
      <c r="D178" s="78"/>
      <c r="E178" s="78"/>
      <c r="F178" s="44"/>
      <c r="G178" s="7"/>
      <c r="H178" s="7"/>
      <c r="I178" s="7"/>
      <c r="J178" s="7"/>
      <c r="L178" s="7"/>
      <c r="M178" s="7"/>
      <c r="N178" s="7"/>
      <c r="O178" s="7"/>
      <c r="P178" s="7"/>
      <c r="Q178" s="7"/>
      <c r="R178" s="7"/>
    </row>
    <row r="179" spans="2:18" outlineLevel="1">
      <c r="B179" s="89"/>
      <c r="C179" s="89"/>
      <c r="D179" s="89"/>
      <c r="E179" s="89"/>
      <c r="F179" s="89">
        <v>1</v>
      </c>
      <c r="G179" s="90">
        <v>2</v>
      </c>
      <c r="H179" s="90">
        <v>3</v>
      </c>
      <c r="I179" s="90">
        <v>4</v>
      </c>
      <c r="J179" s="90"/>
      <c r="L179" s="90"/>
      <c r="M179" s="90"/>
      <c r="N179" s="90"/>
      <c r="O179" s="90"/>
      <c r="P179" s="90"/>
      <c r="Q179" s="90"/>
      <c r="R179" s="90"/>
    </row>
    <row r="180" spans="2:18" ht="17" outlineLevel="1">
      <c r="B180" s="91"/>
      <c r="C180" s="18">
        <v>2018</v>
      </c>
      <c r="D180" s="18">
        <v>2019</v>
      </c>
      <c r="E180" s="18">
        <v>2020</v>
      </c>
      <c r="F180" s="11">
        <v>2021</v>
      </c>
      <c r="G180" s="11" t="s">
        <v>5</v>
      </c>
      <c r="H180" s="11">
        <v>2023</v>
      </c>
      <c r="I180" s="11" t="s">
        <v>6</v>
      </c>
      <c r="J180" s="92" t="s">
        <v>137</v>
      </c>
      <c r="L180" s="93"/>
      <c r="M180" s="93"/>
      <c r="N180" s="93"/>
      <c r="O180" s="93"/>
      <c r="P180" s="93"/>
      <c r="Q180" s="93"/>
      <c r="R180" s="93"/>
    </row>
    <row r="181" spans="2:18" ht="9" customHeight="1" outlineLevel="1">
      <c r="B181" s="93"/>
      <c r="C181" s="18"/>
      <c r="D181" s="18"/>
      <c r="E181" s="18"/>
      <c r="F181" s="19"/>
      <c r="G181" s="19"/>
      <c r="H181" s="19"/>
      <c r="I181" s="19"/>
      <c r="J181" s="94"/>
      <c r="L181" s="93"/>
      <c r="M181" s="93"/>
      <c r="N181" s="93"/>
      <c r="O181" s="93"/>
      <c r="P181" s="93"/>
      <c r="Q181" s="93"/>
      <c r="R181" s="93"/>
    </row>
    <row r="182" spans="2:18" outlineLevel="1">
      <c r="B182" s="7" t="s">
        <v>138</v>
      </c>
      <c r="C182" s="95"/>
      <c r="D182" s="95"/>
      <c r="E182" s="95"/>
      <c r="F182" s="95">
        <f>F83+(F38*(1-F16))+F86</f>
        <v>10524.900731359397</v>
      </c>
      <c r="G182" s="95">
        <f>G83+(G38*(1-G16))+G86</f>
        <v>10887.211334686919</v>
      </c>
      <c r="H182" s="95">
        <f>H83+(H38*(1-H16))+H86</f>
        <v>11431.571901421266</v>
      </c>
      <c r="I182" s="95">
        <f>I83+(I38*(1-I16))+I86</f>
        <v>12003.150496492333</v>
      </c>
      <c r="J182" s="95">
        <f>I182*(1+C176)/(C174-C176)</f>
        <v>300927.35892164189</v>
      </c>
      <c r="L182" s="7"/>
      <c r="M182" s="7"/>
      <c r="N182" s="7"/>
      <c r="O182" s="7"/>
      <c r="P182" s="7"/>
      <c r="Q182" s="7"/>
      <c r="R182" s="7"/>
    </row>
    <row r="183" spans="2:18" ht="9" customHeight="1" outlineLevel="1" thickBot="1">
      <c r="B183" s="96"/>
      <c r="C183" s="97"/>
      <c r="D183" s="97"/>
      <c r="E183" s="97"/>
      <c r="F183" s="97"/>
      <c r="G183" s="97"/>
      <c r="H183" s="97"/>
      <c r="I183" s="97"/>
      <c r="J183" s="98"/>
      <c r="L183" s="7"/>
      <c r="M183" s="7"/>
      <c r="N183" s="7"/>
      <c r="O183" s="7"/>
      <c r="P183" s="7"/>
      <c r="Q183" s="7"/>
      <c r="R183" s="7"/>
    </row>
    <row r="184" spans="2:18" ht="18" outlineLevel="1" thickTop="1" thickBot="1">
      <c r="B184" s="99" t="s">
        <v>139</v>
      </c>
      <c r="C184" s="100"/>
      <c r="D184" s="100"/>
      <c r="E184" s="100"/>
      <c r="F184" s="100">
        <f>F182/(1+$C$174)^F179</f>
        <v>9922.7397973498264</v>
      </c>
      <c r="G184" s="100">
        <f>G182/(1+$C$174)^G179</f>
        <v>9677.0691099308842</v>
      </c>
      <c r="H184" s="100">
        <f>H182/(1+$C$174)^H179</f>
        <v>9579.5859069099442</v>
      </c>
      <c r="I184" s="100">
        <f>I182/(1+$C$174)^I179</f>
        <v>9483.0847134998985</v>
      </c>
      <c r="J184" s="100">
        <f>J182/(1+$C$174)^I179</f>
        <v>237747.55120313275</v>
      </c>
      <c r="L184" s="20"/>
      <c r="M184" s="20"/>
      <c r="N184" s="20"/>
      <c r="O184" s="20"/>
      <c r="P184" s="20"/>
      <c r="Q184" s="20"/>
      <c r="R184" s="20"/>
    </row>
    <row r="185" spans="2:18" ht="8" customHeight="1" outlineLevel="1" thickTop="1">
      <c r="B185" s="7"/>
      <c r="C185" s="7"/>
      <c r="D185" s="7"/>
      <c r="E185" s="7"/>
      <c r="F185" s="7"/>
      <c r="G185" s="7"/>
      <c r="H185" s="7"/>
      <c r="I185" s="101"/>
      <c r="J185" s="7"/>
      <c r="L185" s="7"/>
      <c r="M185" s="7"/>
      <c r="N185" s="7"/>
      <c r="O185" s="7"/>
      <c r="P185" s="7"/>
      <c r="Q185" s="7"/>
      <c r="R185" s="7"/>
    </row>
    <row r="186" spans="2:18" outlineLevel="1">
      <c r="B186" s="20" t="s">
        <v>140</v>
      </c>
      <c r="C186" s="20"/>
      <c r="D186" s="20"/>
      <c r="E186" s="20"/>
      <c r="F186" s="102">
        <f>SUM(F184:J184)</f>
        <v>276410.03073082329</v>
      </c>
      <c r="G186" s="7"/>
      <c r="H186" s="7"/>
      <c r="I186" s="7"/>
      <c r="J186" s="7"/>
      <c r="L186" s="7"/>
      <c r="M186" s="7"/>
      <c r="N186" s="7"/>
      <c r="O186" s="7"/>
      <c r="P186" s="7"/>
      <c r="Q186" s="7"/>
      <c r="R186" s="7"/>
    </row>
    <row r="187" spans="2:18" ht="6" customHeight="1" outlineLevel="1">
      <c r="B187" s="7"/>
      <c r="C187" s="7"/>
      <c r="D187" s="7"/>
      <c r="E187" s="7"/>
      <c r="F187" s="7"/>
      <c r="G187" s="7"/>
      <c r="H187" s="7"/>
      <c r="I187" s="7"/>
      <c r="J187" s="101"/>
      <c r="L187" s="7"/>
      <c r="M187" s="7"/>
      <c r="N187" s="7"/>
      <c r="O187" s="7"/>
      <c r="P187" s="7"/>
      <c r="Q187" s="7"/>
      <c r="R187" s="7"/>
    </row>
    <row r="188" spans="2:18" outlineLevel="1">
      <c r="B188" s="7" t="s">
        <v>141</v>
      </c>
      <c r="C188" s="7"/>
      <c r="D188" s="7"/>
      <c r="E188" s="7"/>
      <c r="F188" s="21">
        <f>F49</f>
        <v>32631.355553347559</v>
      </c>
      <c r="G188" s="7"/>
      <c r="H188" s="7"/>
      <c r="I188" s="7">
        <f>50000/250</f>
        <v>200</v>
      </c>
      <c r="J188" s="101"/>
      <c r="L188" s="7"/>
      <c r="M188" s="7"/>
      <c r="N188" s="7"/>
      <c r="O188" s="7"/>
      <c r="P188" s="7"/>
      <c r="Q188" s="7"/>
      <c r="R188" s="7"/>
    </row>
    <row r="189" spans="2:18" ht="17" outlineLevel="1" thickBot="1">
      <c r="B189" s="103" t="s">
        <v>142</v>
      </c>
      <c r="C189" s="103"/>
      <c r="D189" s="103"/>
      <c r="E189" s="103"/>
      <c r="F189" s="104">
        <f>F63</f>
        <v>45000</v>
      </c>
      <c r="G189" s="7"/>
      <c r="H189" s="7"/>
      <c r="I189" s="7"/>
      <c r="J189" s="7"/>
      <c r="L189" s="7"/>
      <c r="M189" s="7"/>
      <c r="N189" s="7"/>
      <c r="O189" s="7"/>
      <c r="P189" s="7"/>
      <c r="Q189" s="7"/>
      <c r="R189" s="7"/>
    </row>
    <row r="190" spans="2:18" outlineLevel="1">
      <c r="B190" s="20" t="s">
        <v>143</v>
      </c>
      <c r="C190" s="20"/>
      <c r="D190" s="20"/>
      <c r="E190" s="20"/>
      <c r="F190" s="33">
        <f>F186+F188-F189</f>
        <v>264041.38628417085</v>
      </c>
      <c r="G190" s="20"/>
      <c r="H190" s="20"/>
      <c r="I190" s="20"/>
      <c r="J190" s="20"/>
      <c r="L190" s="20"/>
      <c r="M190" s="20"/>
      <c r="N190" s="20"/>
      <c r="O190" s="20"/>
      <c r="P190" s="20"/>
      <c r="Q190" s="20"/>
      <c r="R190" s="20"/>
    </row>
    <row r="191" spans="2:18" ht="9" customHeight="1" outlineLevel="1">
      <c r="B191" s="7"/>
      <c r="C191" s="7"/>
      <c r="D191" s="7"/>
      <c r="E191" s="7"/>
      <c r="F191" s="7"/>
      <c r="G191" s="7"/>
      <c r="H191" s="7"/>
      <c r="I191" s="7"/>
      <c r="J191" s="101"/>
      <c r="L191" s="7"/>
      <c r="M191" s="7"/>
      <c r="N191" s="7"/>
      <c r="O191" s="7"/>
      <c r="P191" s="7"/>
      <c r="Q191" s="7"/>
      <c r="R191" s="7"/>
    </row>
    <row r="192" spans="2:18" outlineLevel="1">
      <c r="B192" s="7" t="s">
        <v>144</v>
      </c>
      <c r="C192" s="44"/>
      <c r="D192" s="44"/>
      <c r="E192" s="44"/>
      <c r="F192" s="105">
        <f>C177</f>
        <v>501</v>
      </c>
      <c r="G192" s="7"/>
      <c r="H192" s="7"/>
      <c r="I192" s="7"/>
      <c r="J192" s="7"/>
      <c r="L192" s="7"/>
      <c r="M192" s="7"/>
      <c r="N192" s="7"/>
      <c r="O192" s="7"/>
      <c r="P192" s="7"/>
      <c r="Q192" s="7"/>
      <c r="R192" s="7"/>
    </row>
    <row r="193" spans="2:18" ht="8" customHeight="1" outlineLevel="1" thickBot="1">
      <c r="B193" s="103"/>
      <c r="C193" s="103"/>
      <c r="D193" s="103"/>
      <c r="E193" s="103"/>
      <c r="F193" s="103"/>
      <c r="G193" s="7"/>
      <c r="H193" s="7"/>
      <c r="I193" s="7"/>
      <c r="J193" s="7"/>
      <c r="L193" s="7"/>
      <c r="M193" s="7"/>
      <c r="N193" s="7"/>
      <c r="O193" s="7"/>
      <c r="P193" s="7"/>
      <c r="Q193" s="7"/>
      <c r="R193" s="7"/>
    </row>
    <row r="194" spans="2:18" outlineLevel="1">
      <c r="B194" s="20" t="s">
        <v>145</v>
      </c>
      <c r="C194" s="20"/>
      <c r="D194" s="20"/>
      <c r="E194" s="20"/>
      <c r="F194" s="102">
        <f>F190/F192</f>
        <v>527.02871513806554</v>
      </c>
      <c r="G194" s="20"/>
      <c r="H194" s="20"/>
      <c r="I194" s="20"/>
      <c r="J194" s="20"/>
      <c r="L194" s="20"/>
      <c r="M194" s="20"/>
      <c r="N194" s="20"/>
      <c r="O194" s="20"/>
      <c r="P194" s="20"/>
      <c r="Q194" s="20"/>
      <c r="R194" s="20"/>
    </row>
    <row r="195" spans="2:18" ht="5" customHeight="1" outlineLevel="1">
      <c r="B195" s="7"/>
      <c r="C195" s="7"/>
      <c r="D195" s="7"/>
      <c r="E195" s="7"/>
      <c r="F195" s="7"/>
      <c r="G195" s="7"/>
      <c r="H195" s="7"/>
      <c r="I195" s="7"/>
      <c r="J195" s="7"/>
      <c r="L195" s="7"/>
      <c r="M195" s="7"/>
      <c r="N195" s="7"/>
      <c r="O195" s="7"/>
      <c r="P195" s="7"/>
      <c r="Q195" s="7"/>
      <c r="R195" s="7"/>
    </row>
    <row r="196" spans="2:18" outlineLevel="1">
      <c r="B196" s="7" t="s">
        <v>146</v>
      </c>
      <c r="C196" s="7"/>
      <c r="D196" s="7"/>
      <c r="E196" s="7"/>
      <c r="F196" s="106">
        <f>(F194-C178)/C178</f>
        <v>0.31757178784516382</v>
      </c>
      <c r="G196" s="7"/>
      <c r="H196" s="7"/>
      <c r="I196" s="7"/>
      <c r="J196" s="7"/>
      <c r="L196" s="7"/>
      <c r="M196" s="7"/>
      <c r="N196" s="7"/>
      <c r="O196" s="7"/>
      <c r="P196" s="7"/>
      <c r="Q196" s="7"/>
      <c r="R196" s="7"/>
    </row>
    <row r="198" spans="2:18" ht="17">
      <c r="B198" s="17" t="s">
        <v>147</v>
      </c>
      <c r="C198" s="10"/>
      <c r="D198" s="10"/>
      <c r="E198" s="10"/>
      <c r="F198" s="11">
        <v>2021</v>
      </c>
      <c r="G198" s="11">
        <v>2022</v>
      </c>
      <c r="H198" s="11">
        <v>2023</v>
      </c>
      <c r="I198" s="11">
        <v>2024</v>
      </c>
    </row>
    <row r="199" spans="2:18" outlineLevel="1"/>
    <row r="200" spans="2:18" outlineLevel="1">
      <c r="B200" s="1" t="s">
        <v>148</v>
      </c>
      <c r="F200" s="107">
        <f>$F$190/F41</f>
        <v>22.306273731585591</v>
      </c>
      <c r="G200" s="107">
        <f>$F$190/G41</f>
        <v>21.100825391461235</v>
      </c>
      <c r="H200" s="107">
        <f>$F$190/H41</f>
        <v>19.967796419163413</v>
      </c>
      <c r="I200" s="107">
        <f>$F$190/I41</f>
        <v>18.90208276292763</v>
      </c>
    </row>
    <row r="201" spans="2:18" outlineLevel="1">
      <c r="B201" s="1" t="s">
        <v>149</v>
      </c>
      <c r="F201" s="107">
        <f>$F$190/F30</f>
        <v>1.6106523874511833</v>
      </c>
      <c r="G201" s="107">
        <f>$F$190/G30</f>
        <v>1.5339546547154126</v>
      </c>
      <c r="H201" s="107">
        <f>$F$190/H30</f>
        <v>1.4609091949670594</v>
      </c>
      <c r="I201" s="107">
        <f>$F$190/I30</f>
        <v>1.3913420904448184</v>
      </c>
    </row>
    <row r="202" spans="2:18" outlineLevel="1">
      <c r="B202" s="1" t="s">
        <v>150</v>
      </c>
      <c r="F202" s="107">
        <f>$F$186/F126</f>
        <v>12.043579395350505</v>
      </c>
      <c r="G202" s="107">
        <f>$F$186/G126</f>
        <v>11.470075614619523</v>
      </c>
      <c r="H202" s="107">
        <f>$F$186/H126</f>
        <v>10.923881537732882</v>
      </c>
      <c r="I202" s="107">
        <f>$F$186/I126</f>
        <v>10.403696702602744</v>
      </c>
    </row>
    <row r="203" spans="2:18" outlineLevel="1">
      <c r="B203" s="1" t="s">
        <v>151</v>
      </c>
      <c r="F203" s="66">
        <f>F43/$F$190</f>
        <v>2.9139784072478348E-2</v>
      </c>
      <c r="G203" s="66">
        <f>G43/$F$190</f>
        <v>3.0804482191631816E-2</v>
      </c>
      <c r="H203" s="66">
        <f>H43/$F$190</f>
        <v>3.255241521674293E-2</v>
      </c>
      <c r="I203" s="66">
        <f>I43/$F$190</f>
        <v>3.4387744893109619E-2</v>
      </c>
    </row>
    <row r="204" spans="2:18" outlineLevel="1">
      <c r="B204" s="1" t="s">
        <v>152</v>
      </c>
      <c r="F204" s="66">
        <f>(F83+F86)/$F$190</f>
        <v>3.3469755842927856E-2</v>
      </c>
      <c r="G204" s="66">
        <f>(G83+G86)/$F$190</f>
        <v>3.4841929381426058E-2</v>
      </c>
      <c r="H204" s="66">
        <f>(H83+H86)/$F$190</f>
        <v>3.6903578028235108E-2</v>
      </c>
      <c r="I204" s="66">
        <f>(I83+I86)/$F$190</f>
        <v>3.9068309107384624E-2</v>
      </c>
    </row>
    <row r="205" spans="2:18" outlineLevel="1">
      <c r="B205" s="1" t="s">
        <v>153</v>
      </c>
      <c r="F205" s="107">
        <f>$F$190/F68</f>
        <v>4.8882038264966887</v>
      </c>
      <c r="G205" s="107">
        <f>$F$190/G68</f>
        <v>4.521589807118902</v>
      </c>
      <c r="H205" s="107">
        <f>$F$190/H68</f>
        <v>4.1895455439181255</v>
      </c>
      <c r="I205" s="107">
        <f>$F$190/I68</f>
        <v>3.8879364335576381</v>
      </c>
    </row>
  </sheetData>
  <conditionalFormatting sqref="B3 C4:I4">
    <cfRule type="containsText" dxfId="21" priority="21" operator="containsText" text="OK">
      <formula>NOT(ISERROR(SEARCH("OK",B3)))</formula>
    </cfRule>
    <cfRule type="containsText" dxfId="20" priority="22" operator="containsText" text="ERROR">
      <formula>NOT(ISERROR(SEARCH("ERROR",B3)))</formula>
    </cfRule>
  </conditionalFormatting>
  <conditionalFormatting sqref="B6">
    <cfRule type="containsText" dxfId="19" priority="19" operator="containsText" text="OK">
      <formula>NOT(ISERROR(SEARCH("OK",B6)))</formula>
    </cfRule>
    <cfRule type="containsText" dxfId="18" priority="20" operator="containsText" text="ERROR">
      <formula>NOT(ISERROR(SEARCH("ERROR",B6)))</formula>
    </cfRule>
  </conditionalFormatting>
  <conditionalFormatting sqref="B198">
    <cfRule type="containsText" dxfId="17" priority="1" operator="containsText" text="OK">
      <formula>NOT(ISERROR(SEARCH("OK",B198)))</formula>
    </cfRule>
    <cfRule type="containsText" dxfId="16" priority="2" operator="containsText" text="ERROR">
      <formula>NOT(ISERROR(SEARCH("ERROR",B198)))</formula>
    </cfRule>
  </conditionalFormatting>
  <conditionalFormatting sqref="B28">
    <cfRule type="containsText" dxfId="15" priority="17" operator="containsText" text="OK">
      <formula>NOT(ISERROR(SEARCH("OK",B28)))</formula>
    </cfRule>
    <cfRule type="containsText" dxfId="14" priority="18" operator="containsText" text="ERROR">
      <formula>NOT(ISERROR(SEARCH("ERROR",B28)))</formula>
    </cfRule>
  </conditionalFormatting>
  <conditionalFormatting sqref="B45">
    <cfRule type="containsText" dxfId="13" priority="15" operator="containsText" text="OK">
      <formula>NOT(ISERROR(SEARCH("OK",B45)))</formula>
    </cfRule>
    <cfRule type="containsText" dxfId="12" priority="16" operator="containsText" text="ERROR">
      <formula>NOT(ISERROR(SEARCH("ERROR",B45)))</formula>
    </cfRule>
  </conditionalFormatting>
  <conditionalFormatting sqref="B73">
    <cfRule type="containsText" dxfId="11" priority="13" operator="containsText" text="OK">
      <formula>NOT(ISERROR(SEARCH("OK",B73)))</formula>
    </cfRule>
    <cfRule type="containsText" dxfId="10" priority="14" operator="containsText" text="ERROR">
      <formula>NOT(ISERROR(SEARCH("ERROR",B73)))</formula>
    </cfRule>
  </conditionalFormatting>
  <conditionalFormatting sqref="B99">
    <cfRule type="containsText" dxfId="9" priority="11" operator="containsText" text="OK">
      <formula>NOT(ISERROR(SEARCH("OK",B99)))</formula>
    </cfRule>
    <cfRule type="containsText" dxfId="8" priority="12" operator="containsText" text="ERROR">
      <formula>NOT(ISERROR(SEARCH("ERROR",B99)))</formula>
    </cfRule>
  </conditionalFormatting>
  <conditionalFormatting sqref="B122">
    <cfRule type="containsText" dxfId="7" priority="9" operator="containsText" text="OK">
      <formula>NOT(ISERROR(SEARCH("OK",B122)))</formula>
    </cfRule>
    <cfRule type="containsText" dxfId="6" priority="10" operator="containsText" text="ERROR">
      <formula>NOT(ISERROR(SEARCH("ERROR",B122)))</formula>
    </cfRule>
  </conditionalFormatting>
  <conditionalFormatting sqref="B137">
    <cfRule type="containsText" dxfId="5" priority="7" operator="containsText" text="OK">
      <formula>NOT(ISERROR(SEARCH("OK",B137)))</formula>
    </cfRule>
    <cfRule type="containsText" dxfId="4" priority="8" operator="containsText" text="ERROR">
      <formula>NOT(ISERROR(SEARCH("ERROR",B137)))</formula>
    </cfRule>
  </conditionalFormatting>
  <conditionalFormatting sqref="B159">
    <cfRule type="containsText" dxfId="3" priority="5" operator="containsText" text="OK">
      <formula>NOT(ISERROR(SEARCH("OK",B159)))</formula>
    </cfRule>
    <cfRule type="containsText" dxfId="2" priority="6" operator="containsText" text="ERROR">
      <formula>NOT(ISERROR(SEARCH("ERROR",B159)))</formula>
    </cfRule>
  </conditionalFormatting>
  <conditionalFormatting sqref="B180">
    <cfRule type="containsText" dxfId="1" priority="3" operator="containsText" text="OK">
      <formula>NOT(ISERROR(SEARCH("OK",B180)))</formula>
    </cfRule>
    <cfRule type="containsText" dxfId="0" priority="4" operator="containsText" text="ERROR">
      <formula>NOT(ISERROR(SEARCH("ERROR",B180)))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Non-bank model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qi</dc:creator>
  <cp:lastModifiedBy>yan qi</cp:lastModifiedBy>
  <dcterms:created xsi:type="dcterms:W3CDTF">2021-03-15T16:46:56Z</dcterms:created>
  <dcterms:modified xsi:type="dcterms:W3CDTF">2021-03-15T16:47:26Z</dcterms:modified>
</cp:coreProperties>
</file>